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Default Extension="vml" ContentType="application/vnd.openxmlformats-officedocument.vmlDrawing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725" tabRatio="875" firstSheet="32" activeTab="20"/>
  </bookViews>
  <sheets>
    <sheet name="TOTAL PSE" sheetId="1" r:id="rId1"/>
    <sheet name="Total 4YR" sheetId="2" r:id="rId2"/>
    <sheet name="Total 2YR" sheetId="3" r:id="rId3"/>
    <sheet name="LUMCON" sheetId="4" r:id="rId4"/>
    <sheet name="BOR" sheetId="5" r:id="rId5"/>
    <sheet name="TOTAL ULS SYSTEM" sheetId="6" r:id="rId6"/>
    <sheet name="LATECH-UD" sheetId="7" r:id="rId7"/>
    <sheet name="ULL-UD" sheetId="8" r:id="rId8"/>
    <sheet name="ULM-UD" sheetId="9" r:id="rId9"/>
    <sheet name="SLU-UD" sheetId="10" r:id="rId10"/>
    <sheet name="GRAM-UD" sheetId="11" r:id="rId11"/>
    <sheet name="Nicholls-UD" sheetId="12" r:id="rId12"/>
    <sheet name="MCN-UD" sheetId="13" r:id="rId13"/>
    <sheet name="NSU-UD" sheetId="14" r:id="rId14"/>
    <sheet name="ULSBOS-UD" sheetId="15" r:id="rId15"/>
    <sheet name="TOTAL LSU SYSTEM" sheetId="16" r:id="rId16"/>
    <sheet name="LSUBR" sheetId="17" r:id="rId17"/>
    <sheet name="LSUA" sheetId="18" r:id="rId18"/>
    <sheet name="LSUE" sheetId="19" r:id="rId19"/>
    <sheet name="LSUS" sheetId="20" r:id="rId20"/>
    <sheet name="UNO" sheetId="21" r:id="rId21"/>
    <sheet name="LSUHSC S" sheetId="22" r:id="rId22"/>
    <sheet name="EA CONWAY" sheetId="23" r:id="rId23"/>
    <sheet name="LSU AG" sheetId="24" r:id="rId24"/>
    <sheet name="PENNINGTON" sheetId="25" r:id="rId25"/>
    <sheet name="LSU LAW" sheetId="26" r:id="rId26"/>
    <sheet name="LSU HSC NO" sheetId="27" r:id="rId27"/>
    <sheet name="LSUBOS" sheetId="28" r:id="rId28"/>
    <sheet name="TOTAL SU SYSTEM" sheetId="29" r:id="rId29"/>
    <sheet name="SUAG" sheetId="30" r:id="rId30"/>
    <sheet name="SUBR" sheetId="31" r:id="rId31"/>
    <sheet name="SULAW" sheetId="32" r:id="rId32"/>
    <sheet name="SUNO" sheetId="33" r:id="rId33"/>
    <sheet name="SUSBO" sheetId="34" r:id="rId34"/>
    <sheet name="SUBOS" sheetId="35" r:id="rId35"/>
    <sheet name="TOTAL LCTCS" sheetId="36" r:id="rId36"/>
    <sheet name="LTC" sheetId="37" r:id="rId37"/>
    <sheet name="BRCC" sheetId="38" r:id="rId38"/>
    <sheet name="BPCC" sheetId="39" r:id="rId39"/>
    <sheet name="RPCC" sheetId="40" r:id="rId40"/>
    <sheet name="SLCC" sheetId="41" r:id="rId41"/>
    <sheet name="LDCC" sheetId="42" r:id="rId42"/>
    <sheet name="NUNEZ" sheetId="43" r:id="rId43"/>
    <sheet name="DELGADO" sheetId="44" r:id="rId44"/>
    <sheet name="FLETCHER" sheetId="45" r:id="rId45"/>
    <sheet name="SOWELA" sheetId="46" r:id="rId46"/>
    <sheet name="LCTCSBOS" sheetId="47" r:id="rId47"/>
  </sheets>
  <externalReferences>
    <externalReference r:id="rId50"/>
    <externalReference r:id="rId51"/>
    <externalReference r:id="rId52"/>
    <externalReference r:id="rId53"/>
  </externalReferences>
  <definedNames>
    <definedName name="nonformula" localSheetId="23">'LSU AG'!$B$8:$D$22,'LSU AG'!$B$24:$D$25,'LSU AG'!$B$27:$D$29,'LSU AG'!$B$32:$D$32,'LSU AG'!$B$34:$D$34,'LSU AG'!$B$36:$D$36,'LSU AG'!$B$38:$D$38,'LSU AG'!$B$42:$D$49,'LSU AG'!$B$51:$D$54,'LSU AG'!$B$57:$D$59,'LSU AG'!$B$61:$D$63,'LSU AG'!$B$65:$D$68,'LSU AG'!$B$70:$D$72</definedName>
    <definedName name="nonformula" localSheetId="26">'LSU HSC NO'!$B$8:$D$22,'LSU HSC NO'!$B$24:$D$25,'LSU HSC NO'!$B$27:$D$29,'LSU HSC NO'!$B$32:$D$32,'LSU HSC NO'!$B$34:$D$34,'LSU HSC NO'!$B$36:$D$36,'LSU HSC NO'!$B$38:$D$38,'LSU HSC NO'!$B$42:$D$49,'LSU HSC NO'!$B$51:$D$54,'LSU HSC NO'!$B$57:$D$59,'LSU HSC NO'!$B$61:$D$63,'LSU HSC NO'!$B$65:$D$68,'LSU HSC NO'!$B$70:$D$72</definedName>
    <definedName name="nonformula" localSheetId="25">'LSU LAW'!$B$8:$D$22,'LSU LAW'!$B$24:$D$25,'LSU LAW'!$B$27:$D$29,'LSU LAW'!$B$32:$D$32,'LSU LAW'!$B$34:$D$34,'LSU LAW'!$B$36:$D$36,'LSU LAW'!$B$38:$D$38,'LSU LAW'!$B$42:$D$49,'LSU LAW'!$B$51:$D$54,'LSU LAW'!$B$57:$D$59,'LSU LAW'!$B$61:$D$63,'LSU LAW'!$B$65:$D$68,'LSU LAW'!$B$70:$D$72</definedName>
    <definedName name="nonformula" localSheetId="21">'LSUHSC S'!$B$8:$D$22,'LSUHSC S'!$B$24:$D$25,'LSUHSC S'!$B$27:$D$29,'LSUHSC S'!$B$32:$D$32,'LSUHSC S'!$B$34:$D$34,'LSUHSC S'!$B$36:$D$36,'LSUHSC S'!$B$38:$D$38,'LSUHSC S'!$B$42:$D$49,'LSUHSC S'!$B$51:$D$54,'LSUHSC S'!$B$57:$D$59,'LSUHSC S'!$B$61:$D$63,'LSUHSC S'!$B$65:$D$68,'LSUHSC S'!$B$70:$D$72</definedName>
    <definedName name="nonformula" localSheetId="19">'LSUS'!$B$8:$D$22,'LSUS'!$B$24:$D$25,'LSUS'!$B$27:$D$29,'LSUS'!$B$32:$D$32,'LSUS'!$B$34:$D$34,'LSUS'!$B$36:$D$36,'LSUS'!$B$38:$D$38,'LSUS'!$B$42:$D$49,'LSUS'!$B$51:$D$54,'LSUS'!$B$57:$D$59,'LSUS'!$B$61:$D$63,'LSUS'!$B$65:$D$68,'LSUS'!$B$70:$D$72</definedName>
    <definedName name="nonformula" localSheetId="24">'PENNINGTON'!$B$8:$D$22,'PENNINGTON'!$B$24:$D$25,'PENNINGTON'!$B$27:$D$29,'PENNINGTON'!$B$32:$D$32,'PENNINGTON'!$B$34:$D$34,'PENNINGTON'!$B$36:$D$36,'PENNINGTON'!$B$38:$D$38,'PENNINGTON'!$B$42:$D$49,'PENNINGTON'!$B$51:$D$54,'PENNINGTON'!$B$57:$D$59,'PENNINGTON'!$B$61:$D$63,'PENNINGTON'!$B$65:$D$68,'PENNINGTON'!$B$70:$D$72</definedName>
    <definedName name="nonformula" localSheetId="20">'UNO'!$B$8:$D$22,'UNO'!$B$24:$D$25,'UNO'!$B$27:$D$29,'UNO'!$B$32:$D$32,'UNO'!$B$34:$D$34,'UNO'!$B$36:$D$36,'UNO'!$B$38:$D$38,'UNO'!$B$42:$D$49,'UNO'!$B$51:$D$54,'UNO'!$B$57:$D$59,'UNO'!$B$61:$D$63,'UNO'!$B$65:$D$68,'UNO'!$B$70:$D$72</definedName>
    <definedName name="nonformula">'LSUE'!$B$8:$D$22,'LSUE'!$B$24:$D$25,'LSUE'!$B$27:$D$29,'LSUE'!$B$32:$D$32,'LSUE'!$B$34:$D$34,'LSUE'!$B$36:$D$36,'LSUE'!$B$38:$D$38,'LSUE'!$B$42:$D$49,'LSUE'!$B$51:$D$54,'LSUE'!$B$57:$D$59,'LSUE'!$B$61:$D$63,'LSUE'!$B$65:$D$68,'LSUE'!$B$70:$D$72</definedName>
    <definedName name="_xlnm.Print_Area" localSheetId="3">'LUMCON'!$A$1:$F$74</definedName>
    <definedName name="_xlnm.Print_Area">'TOTAL ULS SYSTEM'!$A$1:$I$77</definedName>
    <definedName name="test">'SUAG'!$B$8:$D$8,'SUAG'!$B$10:$D$22,'SUAG'!$B$24:$D$25,'SUAG'!$B$27:$D$28,'SUAG'!$B$29:$D$29,'SUAG'!$B$32:$D$32,'SUAG'!$B$34:$D$34,'SUAG'!$B$36:$D$36,'SUAG'!$B$38:$D$38,'SUAG'!$B$42:$D$49,'SUAG'!$B$51:$D$54,'SUAG'!$B$57:$D$59,'SUAG'!$B$61:$D$63,'SUAG'!$B$65:$D$68,'SUAG'!$B$70:$D$72</definedName>
    <definedName name="test2">'SUBR'!$B$8:$E$8,'SUBR'!$B$10:$E$22,'SUBR'!$B$24:$E$25,'SUBR'!$B$27:$E$29,'SUBR'!$B$32:$E$32,'SUBR'!$B$34:$E$34,'SUBR'!$B$36:$E$36,'SUBR'!$B$40:$E$40,'SUBR'!$B$42:$E$42,'SUBR'!$B$43:$E$49,'SUBR'!$B$51:$E$54,'SUBR'!$B$57:$E$59,'SUBR'!$B$61:$E$63,'SUBR'!$B$65:$E$68,'SUBR'!$B$70:$E$72</definedName>
    <definedName name="test5">'SULAW'!$B$8:$E$8,'SULAW'!$B$10:$E$22,'SULAW'!$B$24:$E$25,'SULAW'!$B$27:$E$29,'SULAW'!$B$32:$E$32,'SULAW'!$B$34:$E$34,'SULAW'!$B$36:$E$36,'SULAW'!$B$38:$E$38,'SULAW'!$B$42:$E$49,'SULAW'!$B$51:$E$54,'SULAW'!$B$57:$E$59,'SULAW'!$B$61:$E$63,'SULAW'!$B$65:$E$68,'SULAW'!$B$70:$E$72</definedName>
    <definedName name="test6">'SUNO'!$B$8:$E$8,'SUNO'!$B$10:$C$10,'SUNO'!$C$10:$D$18,'SUNO'!$B$10:$E$22,'SUNO'!$B$24:$E$25,'SUNO'!$B$27:$E$29,'SUNO'!$B$32:$E$32,'SUNO'!$B$34:$E$34,'SUNO'!$B$36:$E$36,'SUNO'!$B$38:$E$38,'SUNO'!$B$40:$E$40,'SUNO'!$B$42:$E$49,'SUNO'!$B$51:$E$54,'SUNO'!$B$57:$E$59,'SUNO'!$B$61:$E$62,'SUNO'!$E$62,'SUNO'!$B$62:$E$63,'SUNO'!$B$65:$C$66,'SUNO'!$D$67,'SUNO'!$B$65:$E$67,'SUNO'!$B$67:$E$68,'SUNO'!$B$70:$E$72</definedName>
  </definedNames>
  <calcPr fullCalcOnLoad="1"/>
</workbook>
</file>

<file path=xl/comments39.xml><?xml version="1.0" encoding="utf-8"?>
<comments xmlns="http://schemas.openxmlformats.org/spreadsheetml/2006/main">
  <authors>
    <author>scrawford</author>
  </authors>
  <commentList>
    <comment ref="B46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>write offs included here</t>
        </r>
        <r>
          <rPr>
            <b/>
            <sz val="8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 xml:space="preserve">write offs included here
</t>
        </r>
      </text>
    </comment>
    <comment ref="D46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 xml:space="preserve">write-offs included here
</t>
        </r>
      </text>
    </comment>
    <comment ref="B51" authorId="0">
      <text>
        <r>
          <rPr>
            <b/>
            <sz val="8"/>
            <rFont val="Tahoma"/>
            <family val="2"/>
          </rPr>
          <t>scrawford:</t>
        </r>
        <r>
          <rPr>
            <sz val="8"/>
            <rFont val="Tahoma"/>
            <family val="2"/>
          </rPr>
          <t xml:space="preserve">
legislative auditor, civil service, and risk management fees</t>
        </r>
      </text>
    </comment>
    <comment ref="C51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 xml:space="preserve">legislative auditor, civil service, and risk management fees
</t>
        </r>
      </text>
    </comment>
    <comment ref="D51" authorId="0">
      <text>
        <r>
          <rPr>
            <b/>
            <sz val="8"/>
            <rFont val="Tahoma"/>
            <family val="2"/>
          </rPr>
          <t>scrawford:</t>
        </r>
        <r>
          <rPr>
            <sz val="8"/>
            <rFont val="Tahoma"/>
            <family val="2"/>
          </rPr>
          <t xml:space="preserve">
legislative auditor, civil service, and risk management fees
</t>
        </r>
      </text>
    </comment>
    <comment ref="B52" authorId="0">
      <text>
        <r>
          <rPr>
            <b/>
            <sz val="8"/>
            <rFont val="Tahoma"/>
            <family val="2"/>
          </rPr>
          <t>scrawford:</t>
        </r>
        <r>
          <rPr>
            <sz val="8"/>
            <rFont val="Tahoma"/>
            <family val="2"/>
          </rPr>
          <t xml:space="preserve">
athletic transfers only</t>
        </r>
      </text>
    </comment>
    <comment ref="C52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 xml:space="preserve">athletic transfers only
</t>
        </r>
      </text>
    </comment>
    <comment ref="D52" authorId="0">
      <text>
        <r>
          <rPr>
            <b/>
            <sz val="8"/>
            <rFont val="Tahoma"/>
            <family val="2"/>
          </rPr>
          <t>scrawford:</t>
        </r>
        <r>
          <rPr>
            <sz val="8"/>
            <rFont val="Tahoma"/>
            <family val="2"/>
          </rPr>
          <t xml:space="preserve">
athletic transfers only
</t>
        </r>
      </text>
    </comment>
    <comment ref="B64" authorId="0">
      <text>
        <r>
          <rPr>
            <b/>
            <sz val="8"/>
            <rFont val="Tahoma"/>
            <family val="2"/>
          </rPr>
          <t>scrawford:</t>
        </r>
        <r>
          <rPr>
            <sz val="8"/>
            <rFont val="Tahoma"/>
            <family val="2"/>
          </rPr>
          <t xml:space="preserve">
should agree with BOR-6</t>
        </r>
      </text>
    </comment>
    <comment ref="C64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>should agree with BOR-6</t>
        </r>
        <r>
          <rPr>
            <b/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8"/>
            <rFont val="Tahoma"/>
            <family val="2"/>
          </rPr>
          <t>scrawford:</t>
        </r>
        <r>
          <rPr>
            <sz val="8"/>
            <rFont val="Tahoma"/>
            <family val="2"/>
          </rPr>
          <t xml:space="preserve">
should agree with BOR-6
</t>
        </r>
      </text>
    </comment>
    <comment ref="B65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 xml:space="preserve">includes scholarships &amp; write offs
</t>
        </r>
      </text>
    </comment>
    <comment ref="C65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 xml:space="preserve">includes scholarships &amp; write offs
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 xml:space="preserve">includes scholaships &amp; write offs
</t>
        </r>
      </text>
    </comment>
    <comment ref="B67" authorId="0">
      <text>
        <r>
          <rPr>
            <b/>
            <sz val="24"/>
            <rFont val="Tahoma"/>
            <family val="2"/>
          </rPr>
          <t>scrawford:</t>
        </r>
        <r>
          <rPr>
            <sz val="24"/>
            <rFont val="Tahoma"/>
            <family val="2"/>
          </rPr>
          <t xml:space="preserve">
includes legislative auditor fees, civil service yearly fees, risk management fees, and athletic transfers</t>
        </r>
      </text>
    </comment>
    <comment ref="C67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>includes legislative auditor fees, civil service yearly fees, risk management fees, and athletic transfers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scrawford:
</t>
        </r>
        <r>
          <rPr>
            <sz val="8"/>
            <rFont val="Tahoma"/>
            <family val="2"/>
          </rPr>
          <t>includes legislative auditor fees, civil service yearly fees, risk management fees, and athletic transfers</t>
        </r>
      </text>
    </comment>
  </commentList>
</comments>
</file>

<file path=xl/sharedStrings.xml><?xml version="1.0" encoding="utf-8"?>
<sst xmlns="http://schemas.openxmlformats.org/spreadsheetml/2006/main" count="3971" uniqueCount="198">
  <si>
    <t xml:space="preserve"> </t>
  </si>
  <si>
    <t>%</t>
  </si>
  <si>
    <t>2004-05</t>
  </si>
  <si>
    <t>Board of Regents</t>
  </si>
  <si>
    <t>Form BOR-1</t>
  </si>
  <si>
    <t>Revenue/Expenditure Data</t>
  </si>
  <si>
    <t>Institution:</t>
  </si>
  <si>
    <t>Revenue/Expenditure</t>
  </si>
  <si>
    <t>Actual</t>
  </si>
  <si>
    <t>Budgeted</t>
  </si>
  <si>
    <t>Change</t>
  </si>
  <si>
    <t>Revenues By Source:</t>
  </si>
  <si>
    <t>State Funds:</t>
  </si>
  <si>
    <t xml:space="preserve">     General Fund Direct</t>
  </si>
  <si>
    <t>Total State Funds</t>
  </si>
  <si>
    <t>Interagency Transfers</t>
  </si>
  <si>
    <t>Federal Funds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</si>
  <si>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</si>
  <si>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</si>
  <si>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</si>
  <si>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</si>
  <si>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</si>
  <si>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</si>
  <si>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</si>
  <si>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</si>
  <si>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</si>
  <si>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</si>
  <si>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</si>
  <si>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</si>
  <si>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</si>
  <si>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</si>
  <si>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</si>
  <si>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</si>
  <si>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</si>
  <si>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</si>
  <si>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</si>
  <si>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</si>
  <si>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</si>
  <si>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</si>
  <si>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</si>
  <si>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</si>
  <si>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</si>
  <si>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</si>
  <si>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</si>
  <si>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</si>
  <si>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</si>
  <si>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Library Acquisitions</t>
  </si>
  <si>
    <t xml:space="preserve">  Major Repairs</t>
  </si>
  <si>
    <t>Total Acquisitions and Major Repairs</t>
  </si>
  <si>
    <t xml:space="preserve">  Academic Support**</t>
  </si>
  <si>
    <t xml:space="preserve">    Funds Due From Management Board or Regents:</t>
  </si>
  <si>
    <t xml:space="preserve">          Desegregation Settlement (Federal Compliance)</t>
  </si>
  <si>
    <t xml:space="preserve">    Funds Due to Institutions:</t>
  </si>
  <si>
    <t xml:space="preserve">          Other (List)</t>
  </si>
  <si>
    <t xml:space="preserve">    Other (List)</t>
  </si>
  <si>
    <t>Over/(Under)</t>
  </si>
  <si>
    <t>Self Generated Funds</t>
  </si>
  <si>
    <t xml:space="preserve">  General Acquisitions</t>
  </si>
  <si>
    <t>**Library costs are included in the function of academic support and are detailed on the BOR-4A.</t>
  </si>
  <si>
    <t>2004-05*</t>
  </si>
  <si>
    <t xml:space="preserve">     Statutory Dedicated: </t>
  </si>
  <si>
    <t xml:space="preserve">           Higher Education Initiative Fund</t>
  </si>
  <si>
    <t xml:space="preserve">           Support Education in Louisiana First (SELF)</t>
  </si>
  <si>
    <t xml:space="preserve">           Equine Health Studies Program Fund</t>
  </si>
  <si>
    <t xml:space="preserve">           Fireman Training Fund</t>
  </si>
  <si>
    <t xml:space="preserve">           Tobacco Tax Fund</t>
  </si>
  <si>
    <t xml:space="preserve">           Calcasieu Parish Fund</t>
  </si>
  <si>
    <t xml:space="preserve">           Pari-Mutiel Fund</t>
  </si>
  <si>
    <t xml:space="preserve">           Health Excellence Fund</t>
  </si>
  <si>
    <t xml:space="preserve">           Louisiana Fund</t>
  </si>
  <si>
    <t xml:space="preserve">           La. Educational Quality Support Fund (LEQSF)</t>
  </si>
  <si>
    <t xml:space="preserve">           Proprietary School Fund</t>
  </si>
  <si>
    <t xml:space="preserve">* This column should reflect the last approved BA-7 in FY 04-05.  </t>
  </si>
  <si>
    <t xml:space="preserve">           Two Percent Fire Insurance Fund</t>
  </si>
  <si>
    <t xml:space="preserve">           Southern University Ag Center Fund</t>
  </si>
  <si>
    <t xml:space="preserve">           VoTech Enterprise Fund (will be eliminated if HB 461 is passed)</t>
  </si>
  <si>
    <r>
      <t xml:space="preserve">NOTE: </t>
    </r>
    <r>
      <rPr>
        <sz val="36"/>
        <rFont val="Arial"/>
        <family val="2"/>
      </rPr>
      <t xml:space="preserve"> The Louisiana Technical College should report vocational technical enterprise funds under statutory dedicated funds</t>
    </r>
  </si>
  <si>
    <t xml:space="preserve">             unless HB 461 of the 2005 session is passed.</t>
  </si>
  <si>
    <t>Revenue Over Expenditures - (List MOF)</t>
  </si>
  <si>
    <t>TOTAL PSE</t>
  </si>
  <si>
    <t>Board of Regents   COMBINED WITH LSUHSC S#"S</t>
  </si>
  <si>
    <t>ULS SYSTEM TOTAL</t>
  </si>
  <si>
    <t>UNO</t>
  </si>
  <si>
    <t>SU AG</t>
  </si>
  <si>
    <t>SU LAW</t>
  </si>
  <si>
    <t>SUNO</t>
  </si>
  <si>
    <t>Southern Shreveport</t>
  </si>
  <si>
    <t>Southern BOS</t>
  </si>
  <si>
    <t>LCTC SYSTEM TOTAL</t>
  </si>
  <si>
    <t>LTC</t>
  </si>
  <si>
    <t>BRCC</t>
  </si>
  <si>
    <t>BPCC</t>
  </si>
  <si>
    <t>RPCC</t>
  </si>
  <si>
    <t>SLCC</t>
  </si>
  <si>
    <t>LDCC</t>
  </si>
  <si>
    <t>2006-07</t>
  </si>
  <si>
    <t xml:space="preserve">           Calcasieu Parish Higher Education Improvement Fund</t>
  </si>
  <si>
    <t>2006-07*</t>
  </si>
  <si>
    <t>2007-08</t>
  </si>
  <si>
    <t xml:space="preserve">           Tobacco Tax Health Care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</si>
  <si>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</si>
  <si>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</si>
  <si>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</si>
  <si>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>Northwestern State University</t>
  </si>
  <si>
    <t xml:space="preserve">     Statutory Dedicated:</t>
  </si>
  <si>
    <t xml:space="preserve">         Higher Education Initiative Fund</t>
  </si>
  <si>
    <t xml:space="preserve">         Support Education in La. First (SELF)</t>
  </si>
  <si>
    <t xml:space="preserve">         Calcasieu Parish Fund</t>
  </si>
  <si>
    <t xml:space="preserve">         Pari-Mutiel Fund</t>
  </si>
  <si>
    <t xml:space="preserve">         Southern University Ag Center Fund</t>
  </si>
  <si>
    <t xml:space="preserve">         Equine Health Studies Program Fund</t>
  </si>
  <si>
    <t xml:space="preserve">         Fireman Training Fund</t>
  </si>
  <si>
    <t xml:space="preserve">         Two Percent Fire Insurance Fund</t>
  </si>
  <si>
    <t xml:space="preserve">         Health Excellence Fund</t>
  </si>
  <si>
    <t xml:space="preserve">         Louisiana Fund</t>
  </si>
  <si>
    <t xml:space="preserve">         La. Educational Quality Support Fund (LEQSF)</t>
  </si>
  <si>
    <t xml:space="preserve">         Proprietary School Fund</t>
  </si>
  <si>
    <t xml:space="preserve">    Funds Due from Management Board or Regents:</t>
  </si>
  <si>
    <t xml:space="preserve">         Other (List)</t>
  </si>
  <si>
    <t xml:space="preserve">        Other (List)</t>
  </si>
  <si>
    <t>Revenue Over Expenditures</t>
  </si>
  <si>
    <t>Self-Generated Funds</t>
  </si>
  <si>
    <t xml:space="preserve">   Instruction</t>
  </si>
  <si>
    <t xml:space="preserve">   Research</t>
  </si>
  <si>
    <t xml:space="preserve">   Public Service</t>
  </si>
  <si>
    <t xml:space="preserve">   Academic Support </t>
  </si>
  <si>
    <t xml:space="preserve">   Student Services</t>
  </si>
  <si>
    <t xml:space="preserve">   Institutional Support</t>
  </si>
  <si>
    <t xml:space="preserve">   Scholarships/Fellowships</t>
  </si>
  <si>
    <t xml:space="preserve">   Plant Operations/Maintenance</t>
  </si>
  <si>
    <t>Total E &amp; G Expenditures</t>
  </si>
  <si>
    <t xml:space="preserve">   Hospital</t>
  </si>
  <si>
    <t xml:space="preserve">   Transfers Out of Agency</t>
  </si>
  <si>
    <t xml:space="preserve">   Athletics</t>
  </si>
  <si>
    <t xml:space="preserve">   Other (IntraAgency)</t>
  </si>
  <si>
    <t xml:space="preserve">  Debt Service</t>
  </si>
  <si>
    <t>Total Acquisition and Major Repairs</t>
  </si>
  <si>
    <t xml:space="preserve">           Southern University Agriculture Program Fund</t>
  </si>
  <si>
    <t xml:space="preserve">           Higher Education Initiatives Fund</t>
  </si>
  <si>
    <t>Revenue Over Expenditures - (List MOF) State Gen Fund</t>
  </si>
  <si>
    <t xml:space="preserve">           Other (List)</t>
  </si>
  <si>
    <t>Major Repairs</t>
  </si>
  <si>
    <t xml:space="preserve">          Other</t>
  </si>
  <si>
    <t>Revenue Over Expenditures - Self-Generated Tuition/Fees</t>
  </si>
  <si>
    <t xml:space="preserve">  General Fund Direct</t>
  </si>
  <si>
    <t xml:space="preserve">  Statutory Dedicated: </t>
  </si>
  <si>
    <t xml:space="preserve">  Funds Due From Management Board or Regents:</t>
  </si>
  <si>
    <t xml:space="preserve">      Other (List)</t>
  </si>
  <si>
    <t xml:space="preserve">  Funds Due To Institutions:</t>
  </si>
  <si>
    <t xml:space="preserve">  Other (List)</t>
  </si>
  <si>
    <t xml:space="preserve">            Other (List)</t>
  </si>
  <si>
    <t>Nunez</t>
  </si>
  <si>
    <t>Delgado</t>
  </si>
  <si>
    <t xml:space="preserve">  Other - Intragency Transfer (HB765)</t>
  </si>
  <si>
    <t>Professional Services</t>
  </si>
  <si>
    <t>FLETCHER</t>
  </si>
  <si>
    <t xml:space="preserve">           Calcasieu Visitor Enterprise</t>
  </si>
  <si>
    <t>SOWELA</t>
  </si>
  <si>
    <t>LCTCS BOS</t>
  </si>
  <si>
    <t xml:space="preserve">           Calcasieu Visitor Enterprise fund</t>
  </si>
  <si>
    <t>Louisiana Tech University</t>
  </si>
  <si>
    <t>Southeastern Lousiana Univesrity</t>
  </si>
  <si>
    <t>University of Louisiana at Monroe</t>
  </si>
  <si>
    <t>Nicholls State University</t>
  </si>
  <si>
    <t>McNeese State University</t>
  </si>
  <si>
    <t>Grambling State University</t>
  </si>
  <si>
    <t>University of Louisiana at Lafayette</t>
  </si>
  <si>
    <t>ULS Board of Supervisors</t>
  </si>
  <si>
    <t>LUMCON</t>
  </si>
  <si>
    <t>LSU BR Includes Vet</t>
  </si>
  <si>
    <t xml:space="preserve">    Other Interim Emergency Board</t>
  </si>
  <si>
    <t>LSU at Alexandria</t>
  </si>
  <si>
    <t>LSUHSC S Includes EA Conway and Huey P. Long</t>
  </si>
  <si>
    <t>LSU Agricultural Center</t>
  </si>
  <si>
    <t>LSU HSC NO</t>
  </si>
  <si>
    <t>LSU BOS</t>
  </si>
  <si>
    <t>Southern BR</t>
  </si>
  <si>
    <t>2006-2007</t>
  </si>
  <si>
    <t>2006-2007*</t>
  </si>
  <si>
    <t>2007-2008</t>
  </si>
  <si>
    <t>SU System Total</t>
  </si>
  <si>
    <t>LSU System Total</t>
  </si>
  <si>
    <t>LSU at Eunice</t>
  </si>
  <si>
    <t>LSU at Shreveport</t>
  </si>
  <si>
    <t>LSU Law</t>
  </si>
  <si>
    <t>Pennington</t>
  </si>
  <si>
    <t>* This column should reflect the last approved BA-7.  **Library costs are included in the function of academic support.</t>
  </si>
  <si>
    <t>* This column should reflect the last approved BA-7.  Library costs are included in the function of academic support.</t>
  </si>
  <si>
    <t xml:space="preserve">Revenue Over Expenditures - (List MOF) </t>
  </si>
  <si>
    <t xml:space="preserve">  Transfers out of agency </t>
  </si>
  <si>
    <t xml:space="preserve">           Pari-Mutiel Live Racing Fac. Gaming Control Fund</t>
  </si>
  <si>
    <r>
      <t xml:space="preserve">    </t>
    </r>
    <r>
      <rPr>
        <sz val="72"/>
        <rFont val="Arial"/>
        <family val="2"/>
      </rPr>
      <t>Other (List)</t>
    </r>
  </si>
  <si>
    <t xml:space="preserve">         Tobacco Fund </t>
  </si>
  <si>
    <t xml:space="preserve">Revenue Over Expenditures </t>
  </si>
  <si>
    <t>Revenue Over Expenditures - (List MOF) SG</t>
  </si>
  <si>
    <t xml:space="preserve">           Over Collections Fund</t>
  </si>
  <si>
    <t>TOTAL 4YR</t>
  </si>
  <si>
    <t>TOTAL 2YR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</si>
</sst>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$&quot;#,##0"/>
    <numFmt numFmtId="166" formatCode="0.00_);[Red]\(0.00\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.00_);_(* \(#,##0.00\);_(* 0\);_(@_)"/>
    <numFmt numFmtId="171" formatCode="_(* #,##0.00_);_(* \(#,##0.00\);_(*(\ 0\);_(@_)"/>
    <numFmt numFmtId="172" formatCode="_(* #,##0.00_);_(* \(#,##0.00\);_(* 0;_(@_)"/>
    <numFmt numFmtId="173" formatCode="_(* #,##0_);_(* \(#,##0\);_(*0\);_(@_)"/>
    <numFmt numFmtId="174" formatCode="_(* #,##0_);_(* \(#,##0\);_(* 0\);_(@_)"/>
    <numFmt numFmtId="175" formatCode="_(* #,##0_);_(* \(#,##0\);_(* 0;_(@_)"/>
    <numFmt numFmtId="176" formatCode="_(* #,##0_);_(* \(#,##0\);_(*0;_(@_)"/>
    <numFmt numFmtId="177" formatCode="_(* #,##0_);_(* \(#,##0\);_(0\);_(@_)"/>
    <numFmt numFmtId="178" formatCode="_(* #,##0_);_(* \(#,##0\);_(0;_(@_)"/>
    <numFmt numFmtId="179" formatCode="_(&quot;$&quot;* #,##0_);_(&quot;$&quot;* \(#,##0\);_(0;_(@_)"/>
    <numFmt numFmtId="180" formatCode="_(&quot;$&quot;* #,##0_);_(&quot;$&quot;* \(#,##0\);_(&quot;$&quot;* 0_);_(@_)"/>
    <numFmt numFmtId="181" formatCode="_(* #,##0.00_);_(* \(#,##0.00\);_(*0;_(@_)"/>
    <numFmt numFmtId="182" formatCode="&quot;$&quot;#,##0.00"/>
    <numFmt numFmtId="183" formatCode="#,##0.0_);\(#,##0.0\)"/>
  </numFmts>
  <fonts count="6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8"/>
      <color indexed="12"/>
      <name val="Arial"/>
      <family val="2"/>
    </font>
    <font>
      <u val="single"/>
      <sz val="4.2"/>
      <color indexed="12"/>
      <name val="Arial"/>
      <family val="2"/>
    </font>
    <font>
      <u val="single"/>
      <sz val="4.2"/>
      <color indexed="36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72"/>
      <name val="Times New Roman"/>
      <family val="1"/>
    </font>
    <font>
      <sz val="72"/>
      <name val="Times New Roman"/>
      <family val="1"/>
    </font>
    <font>
      <sz val="72"/>
      <color indexed="10"/>
      <name val="Times New Roman"/>
      <family val="1"/>
    </font>
    <font>
      <b/>
      <u val="single"/>
      <sz val="72"/>
      <name val="Times New Roman"/>
      <family val="1"/>
    </font>
    <font>
      <u val="single"/>
      <sz val="72"/>
      <name val="Times New Roman"/>
      <family val="1"/>
    </font>
    <font>
      <sz val="72"/>
      <name val="Arial"/>
      <family val="2"/>
    </font>
    <font>
      <sz val="24"/>
      <name val="Tahoma"/>
      <family val="2"/>
    </font>
    <font>
      <b/>
      <sz val="24"/>
      <name val="Tahoma"/>
      <family val="2"/>
    </font>
    <font>
      <b/>
      <sz val="70"/>
      <name val="Times New Roman"/>
      <family val="1"/>
    </font>
    <font>
      <sz val="7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thick">
        <color indexed="8"/>
      </right>
      <top style="thick"/>
      <bottom>
        <color indexed="63"/>
      </bottom>
    </border>
    <border>
      <left style="thick"/>
      <right style="thick">
        <color indexed="8"/>
      </right>
      <top>
        <color indexed="63"/>
      </top>
      <bottom style="thin">
        <color indexed="8"/>
      </bottom>
    </border>
    <border>
      <left style="thick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>
        <color indexed="63"/>
      </bottom>
    </border>
    <border>
      <left style="thick"/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medium">
        <color indexed="8"/>
      </left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medium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3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 applyProtection="1">
      <alignment/>
      <protection locked="0"/>
    </xf>
    <xf numFmtId="0" fontId="6" fillId="0" borderId="15" xfId="0" applyNumberFormat="1" applyFont="1" applyBorder="1" applyAlignment="1" applyProtection="1">
      <alignment/>
      <protection locked="0"/>
    </xf>
    <xf numFmtId="0" fontId="6" fillId="0" borderId="16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0" fillId="0" borderId="18" xfId="0" applyNumberFormat="1" applyFont="1" applyBorder="1" applyAlignment="1" applyProtection="1">
      <alignment/>
      <protection locked="0"/>
    </xf>
    <xf numFmtId="0" fontId="9" fillId="0" borderId="16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/>
      <protection locked="0"/>
    </xf>
    <xf numFmtId="0" fontId="10" fillId="0" borderId="13" xfId="0" applyNumberFormat="1" applyFont="1" applyBorder="1" applyAlignment="1" applyProtection="1">
      <alignment/>
      <protection locked="0"/>
    </xf>
    <xf numFmtId="0" fontId="10" fillId="0" borderId="16" xfId="0" applyNumberFormat="1" applyFont="1" applyBorder="1" applyAlignment="1" applyProtection="1">
      <alignment/>
      <protection locked="0"/>
    </xf>
    <xf numFmtId="0" fontId="9" fillId="0" borderId="13" xfId="0" applyNumberFormat="1" applyFont="1" applyBorder="1" applyAlignment="1" applyProtection="1">
      <alignment/>
      <protection locked="0"/>
    </xf>
    <xf numFmtId="3" fontId="9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/>
    </xf>
    <xf numFmtId="0" fontId="9" fillId="0" borderId="20" xfId="0" applyNumberFormat="1" applyFont="1" applyBorder="1" applyAlignment="1" applyProtection="1">
      <alignment horizontal="center"/>
      <protection locked="0"/>
    </xf>
    <xf numFmtId="3" fontId="9" fillId="0" borderId="2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 applyProtection="1">
      <alignment/>
      <protection locked="0"/>
    </xf>
    <xf numFmtId="0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10" fillId="0" borderId="23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0" fontId="11" fillId="0" borderId="23" xfId="0" applyNumberFormat="1" applyFont="1" applyBorder="1" applyAlignment="1" applyProtection="1">
      <alignment/>
      <protection locked="0"/>
    </xf>
    <xf numFmtId="0" fontId="10" fillId="0" borderId="24" xfId="0" applyNumberFormat="1" applyFont="1" applyBorder="1" applyAlignment="1" applyProtection="1">
      <alignment/>
      <protection locked="0"/>
    </xf>
    <xf numFmtId="3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7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 horizontal="left"/>
    </xf>
    <xf numFmtId="165" fontId="2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3" fontId="17" fillId="0" borderId="12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10" fontId="18" fillId="0" borderId="12" xfId="0" applyNumberFormat="1" applyFont="1" applyBorder="1" applyAlignment="1">
      <alignment/>
    </xf>
    <xf numFmtId="3" fontId="17" fillId="33" borderId="17" xfId="0" applyNumberFormat="1" applyFont="1" applyFill="1" applyBorder="1" applyAlignment="1">
      <alignment/>
    </xf>
    <xf numFmtId="165" fontId="17" fillId="33" borderId="13" xfId="0" applyNumberFormat="1" applyFont="1" applyFill="1" applyBorder="1" applyAlignment="1">
      <alignment horizontal="center"/>
    </xf>
    <xf numFmtId="165" fontId="17" fillId="33" borderId="20" xfId="0" applyNumberFormat="1" applyFont="1" applyFill="1" applyBorder="1" applyAlignment="1" applyProtection="1">
      <alignment horizontal="center"/>
      <protection locked="0"/>
    </xf>
    <xf numFmtId="165" fontId="17" fillId="33" borderId="20" xfId="0" applyNumberFormat="1" applyFont="1" applyFill="1" applyBorder="1" applyAlignment="1">
      <alignment horizontal="center"/>
    </xf>
    <xf numFmtId="10" fontId="17" fillId="33" borderId="20" xfId="0" applyNumberFormat="1" applyFont="1" applyFill="1" applyBorder="1" applyAlignment="1">
      <alignment horizontal="center"/>
    </xf>
    <xf numFmtId="3" fontId="18" fillId="33" borderId="18" xfId="0" applyNumberFormat="1" applyFont="1" applyFill="1" applyBorder="1" applyAlignment="1">
      <alignment/>
    </xf>
    <xf numFmtId="165" fontId="17" fillId="33" borderId="14" xfId="0" applyNumberFormat="1" applyFont="1" applyFill="1" applyBorder="1" applyAlignment="1">
      <alignment horizontal="center"/>
    </xf>
    <xf numFmtId="10" fontId="17" fillId="33" borderId="14" xfId="0" applyNumberFormat="1" applyFont="1" applyFill="1" applyBorder="1" applyAlignment="1">
      <alignment horizontal="center"/>
    </xf>
    <xf numFmtId="3" fontId="17" fillId="0" borderId="19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0" fontId="18" fillId="0" borderId="13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0" fontId="17" fillId="0" borderId="18" xfId="0" applyNumberFormat="1" applyFont="1" applyBorder="1" applyAlignment="1" applyProtection="1">
      <alignment/>
      <protection locked="0"/>
    </xf>
    <xf numFmtId="165" fontId="17" fillId="0" borderId="14" xfId="0" applyNumberFormat="1" applyFont="1" applyBorder="1" applyAlignment="1" applyProtection="1">
      <alignment/>
      <protection locked="0"/>
    </xf>
    <xf numFmtId="10" fontId="17" fillId="0" borderId="14" xfId="0" applyNumberFormat="1" applyFont="1" applyBorder="1" applyAlignment="1" applyProtection="1">
      <alignment/>
      <protection locked="0"/>
    </xf>
    <xf numFmtId="0" fontId="17" fillId="0" borderId="25" xfId="0" applyNumberFormat="1" applyFont="1" applyBorder="1" applyAlignment="1" applyProtection="1">
      <alignment/>
      <protection locked="0"/>
    </xf>
    <xf numFmtId="0" fontId="18" fillId="0" borderId="26" xfId="0" applyNumberFormat="1" applyFont="1" applyBorder="1" applyAlignment="1" applyProtection="1">
      <alignment/>
      <protection locked="0"/>
    </xf>
    <xf numFmtId="165" fontId="18" fillId="0" borderId="14" xfId="0" applyNumberFormat="1" applyFont="1" applyBorder="1" applyAlignment="1" applyProtection="1">
      <alignment/>
      <protection locked="0"/>
    </xf>
    <xf numFmtId="10" fontId="18" fillId="0" borderId="14" xfId="0" applyNumberFormat="1" applyFont="1" applyBorder="1" applyAlignment="1" applyProtection="1">
      <alignment/>
      <protection locked="0"/>
    </xf>
    <xf numFmtId="0" fontId="18" fillId="0" borderId="25" xfId="0" applyNumberFormat="1" applyFont="1" applyBorder="1" applyAlignment="1" applyProtection="1">
      <alignment/>
      <protection locked="0"/>
    </xf>
    <xf numFmtId="0" fontId="18" fillId="0" borderId="27" xfId="0" applyNumberFormat="1" applyFont="1" applyBorder="1" applyAlignment="1" applyProtection="1">
      <alignment/>
      <protection locked="0"/>
    </xf>
    <xf numFmtId="0" fontId="17" fillId="0" borderId="26" xfId="0" applyNumberFormat="1" applyFont="1" applyBorder="1" applyAlignment="1" applyProtection="1">
      <alignment/>
      <protection locked="0"/>
    </xf>
    <xf numFmtId="165" fontId="17" fillId="0" borderId="28" xfId="0" applyNumberFormat="1" applyFont="1" applyBorder="1" applyAlignment="1" applyProtection="1">
      <alignment/>
      <protection locked="0"/>
    </xf>
    <xf numFmtId="0" fontId="18" fillId="0" borderId="29" xfId="0" applyNumberFormat="1" applyFont="1" applyBorder="1" applyAlignment="1" applyProtection="1">
      <alignment/>
      <protection locked="0"/>
    </xf>
    <xf numFmtId="165" fontId="17" fillId="0" borderId="15" xfId="0" applyNumberFormat="1" applyFont="1" applyBorder="1" applyAlignment="1" applyProtection="1">
      <alignment/>
      <protection locked="0"/>
    </xf>
    <xf numFmtId="165" fontId="17" fillId="0" borderId="16" xfId="0" applyNumberFormat="1" applyFont="1" applyBorder="1" applyAlignment="1" applyProtection="1">
      <alignment/>
      <protection locked="0"/>
    </xf>
    <xf numFmtId="10" fontId="17" fillId="0" borderId="16" xfId="0" applyNumberFormat="1" applyFont="1" applyBorder="1" applyAlignment="1" applyProtection="1">
      <alignment/>
      <protection locked="0"/>
    </xf>
    <xf numFmtId="165" fontId="18" fillId="0" borderId="13" xfId="0" applyNumberFormat="1" applyFont="1" applyBorder="1" applyAlignment="1" applyProtection="1">
      <alignment/>
      <protection locked="0"/>
    </xf>
    <xf numFmtId="10" fontId="18" fillId="0" borderId="30" xfId="0" applyNumberFormat="1" applyFont="1" applyBorder="1" applyAlignment="1" applyProtection="1">
      <alignment/>
      <protection locked="0"/>
    </xf>
    <xf numFmtId="10" fontId="18" fillId="0" borderId="16" xfId="0" applyNumberFormat="1" applyFont="1" applyBorder="1" applyAlignment="1" applyProtection="1">
      <alignment/>
      <protection locked="0"/>
    </xf>
    <xf numFmtId="3" fontId="17" fillId="0" borderId="26" xfId="0" applyNumberFormat="1" applyFont="1" applyBorder="1" applyAlignment="1">
      <alignment/>
    </xf>
    <xf numFmtId="10" fontId="18" fillId="0" borderId="13" xfId="0" applyNumberFormat="1" applyFont="1" applyBorder="1" applyAlignment="1" applyProtection="1">
      <alignment/>
      <protection locked="0"/>
    </xf>
    <xf numFmtId="3" fontId="17" fillId="0" borderId="25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10" fontId="17" fillId="0" borderId="15" xfId="0" applyNumberFormat="1" applyFont="1" applyBorder="1" applyAlignment="1" applyProtection="1">
      <alignment/>
      <protection locked="0"/>
    </xf>
    <xf numFmtId="165" fontId="17" fillId="0" borderId="28" xfId="0" applyNumberFormat="1" applyFont="1" applyBorder="1" applyAlignment="1">
      <alignment/>
    </xf>
    <xf numFmtId="10" fontId="17" fillId="0" borderId="16" xfId="0" applyNumberFormat="1" applyFont="1" applyBorder="1" applyAlignment="1">
      <alignment/>
    </xf>
    <xf numFmtId="0" fontId="18" fillId="0" borderId="31" xfId="0" applyNumberFormat="1" applyFont="1" applyBorder="1" applyAlignment="1" applyProtection="1">
      <alignment/>
      <protection locked="0"/>
    </xf>
    <xf numFmtId="0" fontId="17" fillId="0" borderId="31" xfId="0" applyNumberFormat="1" applyFont="1" applyBorder="1" applyAlignment="1" applyProtection="1">
      <alignment/>
      <protection locked="0"/>
    </xf>
    <xf numFmtId="10" fontId="18" fillId="0" borderId="0" xfId="0" applyNumberFormat="1" applyFont="1" applyAlignment="1" applyProtection="1">
      <alignment/>
      <protection locked="0"/>
    </xf>
    <xf numFmtId="10" fontId="17" fillId="0" borderId="14" xfId="0" applyNumberFormat="1" applyFont="1" applyBorder="1" applyAlignment="1">
      <alignment/>
    </xf>
    <xf numFmtId="165" fontId="17" fillId="0" borderId="0" xfId="0" applyNumberFormat="1" applyFont="1" applyAlignment="1">
      <alignment/>
    </xf>
    <xf numFmtId="10" fontId="20" fillId="0" borderId="0" xfId="56" applyNumberFormat="1" applyFont="1" applyAlignment="1">
      <alignment/>
    </xf>
    <xf numFmtId="10" fontId="18" fillId="0" borderId="0" xfId="56" applyNumberFormat="1" applyFont="1" applyAlignment="1">
      <alignment/>
    </xf>
    <xf numFmtId="10" fontId="18" fillId="0" borderId="12" xfId="56" applyNumberFormat="1" applyFont="1" applyBorder="1" applyAlignment="1">
      <alignment/>
    </xf>
    <xf numFmtId="10" fontId="17" fillId="33" borderId="20" xfId="56" applyNumberFormat="1" applyFont="1" applyFill="1" applyBorder="1" applyAlignment="1">
      <alignment horizontal="center"/>
    </xf>
    <xf numFmtId="10" fontId="17" fillId="33" borderId="14" xfId="56" applyNumberFormat="1" applyFont="1" applyFill="1" applyBorder="1" applyAlignment="1">
      <alignment horizontal="center"/>
    </xf>
    <xf numFmtId="10" fontId="18" fillId="0" borderId="13" xfId="56" applyNumberFormat="1" applyFont="1" applyBorder="1" applyAlignment="1">
      <alignment/>
    </xf>
    <xf numFmtId="10" fontId="17" fillId="0" borderId="14" xfId="56" applyNumberFormat="1" applyFont="1" applyBorder="1" applyAlignment="1" applyProtection="1">
      <alignment/>
      <protection locked="0"/>
    </xf>
    <xf numFmtId="10" fontId="18" fillId="0" borderId="14" xfId="56" applyNumberFormat="1" applyFont="1" applyBorder="1" applyAlignment="1" applyProtection="1">
      <alignment/>
      <protection locked="0"/>
    </xf>
    <xf numFmtId="10" fontId="17" fillId="0" borderId="16" xfId="56" applyNumberFormat="1" applyFont="1" applyBorder="1" applyAlignment="1" applyProtection="1">
      <alignment/>
      <protection locked="0"/>
    </xf>
    <xf numFmtId="10" fontId="18" fillId="0" borderId="30" xfId="56" applyNumberFormat="1" applyFont="1" applyBorder="1" applyAlignment="1" applyProtection="1">
      <alignment/>
      <protection locked="0"/>
    </xf>
    <xf numFmtId="10" fontId="18" fillId="0" borderId="16" xfId="56" applyNumberFormat="1" applyFont="1" applyBorder="1" applyAlignment="1" applyProtection="1">
      <alignment/>
      <protection locked="0"/>
    </xf>
    <xf numFmtId="10" fontId="18" fillId="0" borderId="13" xfId="56" applyNumberFormat="1" applyFont="1" applyBorder="1" applyAlignment="1" applyProtection="1">
      <alignment/>
      <protection locked="0"/>
    </xf>
    <xf numFmtId="10" fontId="17" fillId="0" borderId="15" xfId="56" applyNumberFormat="1" applyFont="1" applyBorder="1" applyAlignment="1" applyProtection="1">
      <alignment/>
      <protection locked="0"/>
    </xf>
    <xf numFmtId="10" fontId="17" fillId="0" borderId="16" xfId="56" applyNumberFormat="1" applyFont="1" applyBorder="1" applyAlignment="1">
      <alignment/>
    </xf>
    <xf numFmtId="10" fontId="18" fillId="0" borderId="0" xfId="56" applyNumberFormat="1" applyFont="1" applyAlignment="1" applyProtection="1">
      <alignment/>
      <protection locked="0"/>
    </xf>
    <xf numFmtId="3" fontId="17" fillId="0" borderId="32" xfId="0" applyNumberFormat="1" applyFont="1" applyBorder="1" applyAlignment="1">
      <alignment/>
    </xf>
    <xf numFmtId="10" fontId="17" fillId="0" borderId="33" xfId="56" applyNumberFormat="1" applyFont="1" applyBorder="1" applyAlignment="1">
      <alignment/>
    </xf>
    <xf numFmtId="165" fontId="17" fillId="0" borderId="33" xfId="0" applyNumberFormat="1" applyFont="1" applyBorder="1" applyAlignment="1" applyProtection="1">
      <alignment/>
      <protection locked="0"/>
    </xf>
    <xf numFmtId="10" fontId="17" fillId="0" borderId="33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82" fontId="20" fillId="0" borderId="0" xfId="0" applyNumberFormat="1" applyFont="1" applyBorder="1" applyAlignment="1">
      <alignment horizontal="left"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7" fillId="0" borderId="29" xfId="0" applyNumberFormat="1" applyFont="1" applyBorder="1" applyAlignment="1" applyProtection="1">
      <alignment/>
      <protection locked="0"/>
    </xf>
    <xf numFmtId="165" fontId="18" fillId="0" borderId="28" xfId="0" applyNumberFormat="1" applyFont="1" applyBorder="1" applyAlignment="1" applyProtection="1">
      <alignment/>
      <protection locked="0"/>
    </xf>
    <xf numFmtId="0" fontId="18" fillId="0" borderId="34" xfId="0" applyNumberFormat="1" applyFont="1" applyBorder="1" applyAlignment="1" applyProtection="1">
      <alignment/>
      <protection locked="0"/>
    </xf>
    <xf numFmtId="0" fontId="17" fillId="0" borderId="32" xfId="0" applyNumberFormat="1" applyFont="1" applyBorder="1" applyAlignment="1" applyProtection="1">
      <alignment/>
      <protection locked="0"/>
    </xf>
    <xf numFmtId="10" fontId="17" fillId="0" borderId="35" xfId="0" applyNumberFormat="1" applyFont="1" applyBorder="1" applyAlignment="1" applyProtection="1">
      <alignment/>
      <protection locked="0"/>
    </xf>
    <xf numFmtId="0" fontId="17" fillId="0" borderId="36" xfId="0" applyNumberFormat="1" applyFont="1" applyBorder="1" applyAlignment="1" applyProtection="1">
      <alignment/>
      <protection locked="0"/>
    </xf>
    <xf numFmtId="165" fontId="17" fillId="0" borderId="37" xfId="0" applyNumberFormat="1" applyFont="1" applyBorder="1" applyAlignment="1" applyProtection="1">
      <alignment/>
      <protection locked="0"/>
    </xf>
    <xf numFmtId="10" fontId="17" fillId="0" borderId="37" xfId="0" applyNumberFormat="1" applyFont="1" applyBorder="1" applyAlignment="1" applyProtection="1">
      <alignment/>
      <protection locked="0"/>
    </xf>
    <xf numFmtId="10" fontId="17" fillId="0" borderId="33" xfId="0" applyNumberFormat="1" applyFont="1" applyBorder="1" applyAlignment="1" applyProtection="1">
      <alignment/>
      <protection locked="0"/>
    </xf>
    <xf numFmtId="3" fontId="18" fillId="0" borderId="32" xfId="0" applyNumberFormat="1" applyFont="1" applyBorder="1" applyAlignment="1">
      <alignment/>
    </xf>
    <xf numFmtId="165" fontId="18" fillId="0" borderId="33" xfId="0" applyNumberFormat="1" applyFont="1" applyBorder="1" applyAlignment="1">
      <alignment/>
    </xf>
    <xf numFmtId="10" fontId="18" fillId="0" borderId="33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165" fontId="18" fillId="0" borderId="28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10" fontId="18" fillId="0" borderId="28" xfId="0" applyNumberFormat="1" applyFont="1" applyBorder="1" applyAlignment="1">
      <alignment/>
    </xf>
    <xf numFmtId="10" fontId="18" fillId="0" borderId="28" xfId="0" applyNumberFormat="1" applyFont="1" applyBorder="1" applyAlignment="1" applyProtection="1">
      <alignment/>
      <protection locked="0"/>
    </xf>
    <xf numFmtId="10" fontId="18" fillId="0" borderId="38" xfId="0" applyNumberFormat="1" applyFont="1" applyBorder="1" applyAlignment="1" applyProtection="1">
      <alignment/>
      <protection locked="0"/>
    </xf>
    <xf numFmtId="3" fontId="17" fillId="0" borderId="36" xfId="0" applyNumberFormat="1" applyFont="1" applyBorder="1" applyAlignment="1">
      <alignment/>
    </xf>
    <xf numFmtId="10" fontId="17" fillId="0" borderId="37" xfId="0" applyNumberFormat="1" applyFont="1" applyBorder="1" applyAlignment="1">
      <alignment/>
    </xf>
    <xf numFmtId="0" fontId="17" fillId="0" borderId="27" xfId="0" applyNumberFormat="1" applyFont="1" applyBorder="1" applyAlignment="1" applyProtection="1">
      <alignment/>
      <protection locked="0"/>
    </xf>
    <xf numFmtId="3" fontId="17" fillId="0" borderId="39" xfId="0" applyNumberFormat="1" applyFont="1" applyBorder="1" applyAlignment="1">
      <alignment/>
    </xf>
    <xf numFmtId="165" fontId="17" fillId="0" borderId="40" xfId="0" applyNumberFormat="1" applyFont="1" applyBorder="1" applyAlignment="1" applyProtection="1">
      <alignment/>
      <protection locked="0"/>
    </xf>
    <xf numFmtId="0" fontId="17" fillId="0" borderId="41" xfId="0" applyNumberFormat="1" applyFont="1" applyBorder="1" applyAlignment="1" applyProtection="1">
      <alignment/>
      <protection locked="0"/>
    </xf>
    <xf numFmtId="165" fontId="17" fillId="0" borderId="42" xfId="0" applyNumberFormat="1" applyFont="1" applyBorder="1" applyAlignment="1" applyProtection="1">
      <alignment/>
      <protection locked="0"/>
    </xf>
    <xf numFmtId="10" fontId="17" fillId="0" borderId="42" xfId="0" applyNumberFormat="1" applyFont="1" applyBorder="1" applyAlignment="1" applyProtection="1">
      <alignment/>
      <protection locked="0"/>
    </xf>
    <xf numFmtId="10" fontId="17" fillId="0" borderId="43" xfId="0" applyNumberFormat="1" applyFont="1" applyBorder="1" applyAlignment="1" applyProtection="1">
      <alignment/>
      <protection locked="0"/>
    </xf>
    <xf numFmtId="165" fontId="17" fillId="0" borderId="44" xfId="0" applyNumberFormat="1" applyFont="1" applyBorder="1" applyAlignment="1" applyProtection="1">
      <alignment/>
      <protection locked="0"/>
    </xf>
    <xf numFmtId="165" fontId="17" fillId="0" borderId="45" xfId="0" applyNumberFormat="1" applyFont="1" applyBorder="1" applyAlignment="1" applyProtection="1">
      <alignment/>
      <protection locked="0"/>
    </xf>
    <xf numFmtId="10" fontId="18" fillId="0" borderId="33" xfId="0" applyNumberFormat="1" applyFont="1" applyBorder="1" applyAlignment="1" applyProtection="1">
      <alignment/>
      <protection locked="0"/>
    </xf>
    <xf numFmtId="0" fontId="17" fillId="0" borderId="46" xfId="0" applyNumberFormat="1" applyFont="1" applyBorder="1" applyAlignment="1" applyProtection="1">
      <alignment/>
      <protection locked="0"/>
    </xf>
    <xf numFmtId="165" fontId="17" fillId="0" borderId="13" xfId="0" applyNumberFormat="1" applyFont="1" applyBorder="1" applyAlignment="1" applyProtection="1">
      <alignment/>
      <protection locked="0"/>
    </xf>
    <xf numFmtId="10" fontId="17" fillId="0" borderId="13" xfId="0" applyNumberFormat="1" applyFont="1" applyBorder="1" applyAlignment="1" applyProtection="1">
      <alignment/>
      <protection locked="0"/>
    </xf>
    <xf numFmtId="10" fontId="17" fillId="0" borderId="28" xfId="0" applyNumberFormat="1" applyFont="1" applyBorder="1" applyAlignment="1" applyProtection="1">
      <alignment/>
      <protection locked="0"/>
    </xf>
    <xf numFmtId="165" fontId="18" fillId="0" borderId="33" xfId="0" applyNumberFormat="1" applyFont="1" applyBorder="1" applyAlignment="1" applyProtection="1">
      <alignment/>
      <protection locked="0"/>
    </xf>
    <xf numFmtId="165" fontId="18" fillId="0" borderId="14" xfId="0" applyNumberFormat="1" applyFont="1" applyFill="1" applyBorder="1" applyAlignment="1" applyProtection="1">
      <alignment/>
      <protection locked="0"/>
    </xf>
    <xf numFmtId="165" fontId="17" fillId="0" borderId="28" xfId="0" applyNumberFormat="1" applyFont="1" applyFill="1" applyBorder="1" applyAlignment="1">
      <alignment/>
    </xf>
    <xf numFmtId="165" fontId="17" fillId="0" borderId="28" xfId="0" applyNumberFormat="1" applyFont="1" applyFill="1" applyBorder="1" applyAlignment="1" applyProtection="1">
      <alignment/>
      <protection locked="0"/>
    </xf>
    <xf numFmtId="165" fontId="17" fillId="0" borderId="15" xfId="0" applyNumberFormat="1" applyFont="1" applyFill="1" applyBorder="1" applyAlignment="1" applyProtection="1">
      <alignment/>
      <protection locked="0"/>
    </xf>
    <xf numFmtId="165" fontId="17" fillId="0" borderId="14" xfId="0" applyNumberFormat="1" applyFont="1" applyFill="1" applyBorder="1" applyAlignment="1" applyProtection="1">
      <alignment/>
      <protection locked="0"/>
    </xf>
    <xf numFmtId="165" fontId="18" fillId="0" borderId="28" xfId="0" applyNumberFormat="1" applyFont="1" applyFill="1" applyBorder="1" applyAlignment="1" applyProtection="1">
      <alignment/>
      <protection locked="0"/>
    </xf>
    <xf numFmtId="165" fontId="18" fillId="0" borderId="33" xfId="0" applyNumberFormat="1" applyFont="1" applyFill="1" applyBorder="1" applyAlignment="1" applyProtection="1">
      <alignment/>
      <protection locked="0"/>
    </xf>
    <xf numFmtId="165" fontId="17" fillId="0" borderId="33" xfId="0" applyNumberFormat="1" applyFont="1" applyFill="1" applyBorder="1" applyAlignment="1" applyProtection="1">
      <alignment/>
      <protection locked="0"/>
    </xf>
    <xf numFmtId="165" fontId="17" fillId="0" borderId="16" xfId="0" applyNumberFormat="1" applyFont="1" applyFill="1" applyBorder="1" applyAlignment="1" applyProtection="1">
      <alignment/>
      <protection locked="0"/>
    </xf>
    <xf numFmtId="165" fontId="17" fillId="0" borderId="13" xfId="0" applyNumberFormat="1" applyFont="1" applyFill="1" applyBorder="1" applyAlignment="1" applyProtection="1">
      <alignment/>
      <protection locked="0"/>
    </xf>
    <xf numFmtId="165" fontId="17" fillId="0" borderId="37" xfId="0" applyNumberFormat="1" applyFont="1" applyFill="1" applyBorder="1" applyAlignment="1" applyProtection="1">
      <alignment/>
      <protection locked="0"/>
    </xf>
    <xf numFmtId="165" fontId="18" fillId="0" borderId="33" xfId="0" applyNumberFormat="1" applyFont="1" applyFill="1" applyBorder="1" applyAlignment="1">
      <alignment/>
    </xf>
    <xf numFmtId="165" fontId="18" fillId="0" borderId="13" xfId="0" applyNumberFormat="1" applyFont="1" applyFill="1" applyBorder="1" applyAlignment="1">
      <alignment/>
    </xf>
    <xf numFmtId="3" fontId="25" fillId="33" borderId="17" xfId="0" applyNumberFormat="1" applyFont="1" applyFill="1" applyBorder="1" applyAlignment="1">
      <alignment/>
    </xf>
    <xf numFmtId="165" fontId="25" fillId="33" borderId="13" xfId="0" applyNumberFormat="1" applyFont="1" applyFill="1" applyBorder="1" applyAlignment="1">
      <alignment horizontal="center"/>
    </xf>
    <xf numFmtId="165" fontId="25" fillId="33" borderId="20" xfId="0" applyNumberFormat="1" applyFont="1" applyFill="1" applyBorder="1" applyAlignment="1" applyProtection="1">
      <alignment horizontal="center"/>
      <protection locked="0"/>
    </xf>
    <xf numFmtId="165" fontId="25" fillId="33" borderId="20" xfId="0" applyNumberFormat="1" applyFont="1" applyFill="1" applyBorder="1" applyAlignment="1">
      <alignment horizontal="center"/>
    </xf>
    <xf numFmtId="10" fontId="25" fillId="33" borderId="20" xfId="0" applyNumberFormat="1" applyFont="1" applyFill="1" applyBorder="1" applyAlignment="1">
      <alignment horizontal="center"/>
    </xf>
    <xf numFmtId="3" fontId="26" fillId="33" borderId="18" xfId="0" applyNumberFormat="1" applyFont="1" applyFill="1" applyBorder="1" applyAlignment="1">
      <alignment/>
    </xf>
    <xf numFmtId="165" fontId="25" fillId="33" borderId="14" xfId="0" applyNumberFormat="1" applyFont="1" applyFill="1" applyBorder="1" applyAlignment="1">
      <alignment horizontal="center"/>
    </xf>
    <xf numFmtId="10" fontId="25" fillId="33" borderId="14" xfId="0" applyNumberFormat="1" applyFont="1" applyFill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CGradney\Local%20Settings\Temporary%20Internet%20Files\OLK15\Linked%20Budget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CGradney\Local%20Settings\Temporary%20Internet%20Files\OLK15\SOWELA_Operating%20Budget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CGradney\Local%20Settings\Temporary%20Internet%20Files\OLK15\bor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.lctcs.edu\Home\FY%2006-07\LCTCS%20BOR\bo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4"/>
      <sheetName val="BOR1"/>
      <sheetName val="BOR2"/>
      <sheetName val="BOR3"/>
      <sheetName val="BOR4"/>
      <sheetName val="BOR5"/>
      <sheetName val="BOR5cont."/>
      <sheetName val="BOR6"/>
      <sheetName val="BOR7"/>
      <sheetName val="BOR8"/>
      <sheetName val="BOR10"/>
      <sheetName val="BOR12"/>
      <sheetName val="BOR15"/>
      <sheetName val="ULS-5"/>
      <sheetName val="ULS-6"/>
      <sheetName val="ULS-7"/>
      <sheetName val="ULS-8"/>
      <sheetName val="J1 OPER"/>
      <sheetName val="J2 OPER"/>
      <sheetName val="J1 AUX"/>
      <sheetName val="J2 AUX"/>
      <sheetName val="BOR ATH1"/>
      <sheetName val="BOR ATH2"/>
      <sheetName val="BOR ATH3"/>
    </sheetNames>
    <sheetDataSet>
      <sheetData sheetId="4">
        <row r="25">
          <cell r="C25">
            <v>34085207</v>
          </cell>
          <cell r="D25">
            <v>36824434</v>
          </cell>
          <cell r="E25">
            <v>39330244.164</v>
          </cell>
        </row>
        <row r="48">
          <cell r="C48">
            <v>4389397</v>
          </cell>
          <cell r="D48">
            <v>4194011</v>
          </cell>
          <cell r="E48">
            <v>4613401</v>
          </cell>
        </row>
        <row r="72">
          <cell r="C72">
            <v>1136814</v>
          </cell>
          <cell r="D72">
            <v>1122554</v>
          </cell>
          <cell r="E72">
            <v>1314035.42</v>
          </cell>
        </row>
        <row r="96">
          <cell r="C96">
            <v>6360349</v>
          </cell>
          <cell r="D96">
            <v>6564892</v>
          </cell>
          <cell r="E96">
            <v>6727867.252307693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43">
          <cell r="C143">
            <v>5042119</v>
          </cell>
          <cell r="D143">
            <v>4792882</v>
          </cell>
          <cell r="E143">
            <v>5430752.91</v>
          </cell>
        </row>
        <row r="167">
          <cell r="C167">
            <v>9961669</v>
          </cell>
          <cell r="D167">
            <v>9939418</v>
          </cell>
          <cell r="E167">
            <v>10687464.780000001</v>
          </cell>
        </row>
        <row r="191">
          <cell r="C191">
            <v>5237752</v>
          </cell>
          <cell r="D191">
            <v>5556700</v>
          </cell>
          <cell r="E191">
            <v>5660311</v>
          </cell>
        </row>
        <row r="215">
          <cell r="C215">
            <v>9903097</v>
          </cell>
          <cell r="D215">
            <v>8958089</v>
          </cell>
          <cell r="E215">
            <v>10178404.24</v>
          </cell>
        </row>
        <row r="246">
          <cell r="C246">
            <v>42974</v>
          </cell>
          <cell r="D246">
            <v>44311</v>
          </cell>
          <cell r="E246">
            <v>51024</v>
          </cell>
        </row>
        <row r="253">
          <cell r="C253">
            <v>1720000</v>
          </cell>
          <cell r="D253">
            <v>1720000</v>
          </cell>
          <cell r="E253">
            <v>0</v>
          </cell>
        </row>
        <row r="277">
          <cell r="C277">
            <v>2952211</v>
          </cell>
          <cell r="D277">
            <v>2802421</v>
          </cell>
          <cell r="E277">
            <v>2958141</v>
          </cell>
        </row>
        <row r="285">
          <cell r="C285">
            <v>42334153</v>
          </cell>
          <cell r="D285">
            <v>44166291</v>
          </cell>
          <cell r="E285">
            <v>47475497.04615384</v>
          </cell>
        </row>
        <row r="286">
          <cell r="C286">
            <v>637322</v>
          </cell>
          <cell r="D286">
            <v>514327</v>
          </cell>
          <cell r="E286">
            <v>524927</v>
          </cell>
        </row>
        <row r="287">
          <cell r="C287">
            <v>13421502</v>
          </cell>
          <cell r="D287">
            <v>14399338</v>
          </cell>
          <cell r="E287">
            <v>15060131.720153848</v>
          </cell>
        </row>
        <row r="289">
          <cell r="C289">
            <v>480801</v>
          </cell>
          <cell r="D289">
            <v>540124</v>
          </cell>
          <cell r="E289">
            <v>637779</v>
          </cell>
        </row>
        <row r="290">
          <cell r="C290">
            <v>7994208</v>
          </cell>
          <cell r="D290">
            <v>7996781</v>
          </cell>
          <cell r="E290">
            <v>8398926</v>
          </cell>
        </row>
        <row r="291">
          <cell r="C291">
            <v>1633493</v>
          </cell>
          <cell r="D291">
            <v>1605794</v>
          </cell>
          <cell r="E291">
            <v>2031660</v>
          </cell>
        </row>
        <row r="293">
          <cell r="C293">
            <v>593450</v>
          </cell>
          <cell r="D293">
            <v>659012</v>
          </cell>
          <cell r="E293">
            <v>737512</v>
          </cell>
        </row>
        <row r="294">
          <cell r="C294">
            <v>12413975</v>
          </cell>
          <cell r="D294">
            <v>11252436</v>
          </cell>
          <cell r="E294">
            <v>9950267</v>
          </cell>
        </row>
        <row r="298">
          <cell r="C298">
            <v>853796</v>
          </cell>
          <cell r="D298">
            <v>971298</v>
          </cell>
          <cell r="E298">
            <v>1713919</v>
          </cell>
        </row>
        <row r="299">
          <cell r="C299">
            <v>425912</v>
          </cell>
          <cell r="D299">
            <v>370000</v>
          </cell>
          <cell r="E299">
            <v>370000</v>
          </cell>
        </row>
        <row r="300">
          <cell r="C300">
            <v>0</v>
          </cell>
          <cell r="E30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1"/>
      <sheetName val="BOR4"/>
      <sheetName val="BOR4A-142200-Accounting Tech"/>
      <sheetName val="BOR4A-178300-Air Cond &amp; Refrig"/>
      <sheetName val="BOR4A-178400-Automotive Tech"/>
      <sheetName val="BOR4A-178600-Aviation Main Tech"/>
      <sheetName val="BOR4A-173300-Carpentry Apprent"/>
      <sheetName val="BOR4A-178700-Collision Rep Tech"/>
      <sheetName val="BOR4A-120200-Commercial Art"/>
      <sheetName val="BOR4A-172600-Comp Sp-Operations"/>
      <sheetName val="BOR4A-144800-CT-Comp Info Sys"/>
      <sheetName val="BOR4A-172300-CT-Networking Spec"/>
      <sheetName val="BOR4A-172500-CT-Programming Sp"/>
      <sheetName val="BOR4A-132200-Criminal Justice"/>
      <sheetName val="BOR4A-181600-Culinary Arts"/>
      <sheetName val="BOR4A-150600-Transitional St"/>
      <sheetName val="BOR4A-178800-Diesel Powered Eqp"/>
      <sheetName val="BOR4A-182200-Dietary Management"/>
      <sheetName val="BOR4A-183300-Drafting &amp; Design"/>
      <sheetName val="BOR4A-173400-Electrician"/>
      <sheetName val="BOR4A-185300-General Studies"/>
      <sheetName val="BOR4A-174900-Ind Electronics"/>
      <sheetName val="BOR4A-175100-Ind Instrum"/>
      <sheetName val="BOR4A-183400-Machine Tool Tech"/>
      <sheetName val="BOR4A-Non-Credit Courses"/>
      <sheetName val="BOR4A-114000-Nursing Assistant"/>
      <sheetName val="BOR4A-142200-Office Sys Tech"/>
      <sheetName val="BOR4A-113800-Practical Nursing"/>
      <sheetName val="BOR4A-184300-Process Technology"/>
      <sheetName val="BOR4A-113700-Registered Nursing"/>
      <sheetName val="BOR4A-176300-Welding"/>
      <sheetName val="BOR4A-Contingency"/>
      <sheetName val="BOR4-435000-Academic Pers Dvlpt"/>
      <sheetName val="BOR4A-430200-Dean of Instr"/>
      <sheetName val="BOR4A-436000-Exp Ed_Wrkfc Dvlpt"/>
      <sheetName val="BOR4A-434000-Library"/>
      <sheetName val="BOR4A-551000-Admissions &amp; Rcrds"/>
      <sheetName val="BOR4A-555000-Counseling Srvcs"/>
      <sheetName val="BOR4A-550100-Dean of St Affairs"/>
      <sheetName val="BOR4A-552000-Financial Aid"/>
      <sheetName val="BOR4A-556000-Registrar's Office"/>
      <sheetName val="BOR4A-553200-Student Government"/>
      <sheetName val="BOR4A-553100-Student Services"/>
      <sheetName val="BOR4A-642100-Budget Office"/>
      <sheetName val="BOR4A-641100-Business Office"/>
      <sheetName val="BOR4A-610000-Chancellor's Ofc"/>
      <sheetName val="BOR4A-640100-Dean of Admin"/>
      <sheetName val="BOR4A-646100-Fac Prop Mgmt"/>
      <sheetName val="BOR4A-690000-Gen Admin"/>
      <sheetName val="BOR4A-630400-Human Resources"/>
      <sheetName val="BOR4A-645100-Info Mgmt System"/>
      <sheetName val="BOR4A-631000-Instl Research"/>
      <sheetName val="BOR4A-680400-Publ Relations Ofc"/>
      <sheetName val="BOR4A-641500-V Chanc_Acad Affrs"/>
      <sheetName val="BOR4A-620100-V Chanc_Finance"/>
      <sheetName val="BOR4A-650100-V Chanc_St Affairs"/>
      <sheetName val="BOR4A-Scholarship &amp; Fellowship"/>
      <sheetName val="BOR4A-741000-Plant Op and Maint"/>
      <sheetName val="BOR4A-744000-Security"/>
      <sheetName val="BOR5"/>
      <sheetName val="BOR6"/>
      <sheetName val="BOR8"/>
      <sheetName val="BOR10"/>
      <sheetName val="BOR15"/>
    </sheetNames>
    <sheetDataSet>
      <sheetData sheetId="1">
        <row r="24">
          <cell r="B24">
            <v>4786243.67</v>
          </cell>
          <cell r="C24">
            <v>5668892.37</v>
          </cell>
          <cell r="D24">
            <v>5471636.57</v>
          </cell>
          <cell r="E24">
            <v>-197255.7999999998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90">
          <cell r="B90">
            <v>344060.92</v>
          </cell>
          <cell r="C90">
            <v>369499</v>
          </cell>
          <cell r="D90">
            <v>415032.75</v>
          </cell>
          <cell r="E90">
            <v>45533.75</v>
          </cell>
        </row>
        <row r="114">
          <cell r="B114">
            <v>672364.5499999999</v>
          </cell>
          <cell r="C114">
            <v>700471.9199999999</v>
          </cell>
          <cell r="D114">
            <v>759403.5</v>
          </cell>
          <cell r="E114">
            <v>58931.580000000075</v>
          </cell>
        </row>
        <row r="135">
          <cell r="B135">
            <v>2027945.85</v>
          </cell>
          <cell r="C135">
            <v>2312306.81</v>
          </cell>
          <cell r="D135">
            <v>2509632.25</v>
          </cell>
          <cell r="E135">
            <v>197325.43999999994</v>
          </cell>
        </row>
        <row r="159">
          <cell r="B159">
            <v>320090</v>
          </cell>
          <cell r="C159">
            <v>351294</v>
          </cell>
          <cell r="D159">
            <v>664532</v>
          </cell>
          <cell r="E159">
            <v>313238</v>
          </cell>
        </row>
        <row r="180">
          <cell r="B180">
            <v>639334.17</v>
          </cell>
          <cell r="C180">
            <v>796773.52</v>
          </cell>
          <cell r="D180">
            <v>738612.02</v>
          </cell>
          <cell r="E180">
            <v>-58161.5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49">
          <cell r="B249">
            <v>155419</v>
          </cell>
          <cell r="C249">
            <v>155419</v>
          </cell>
          <cell r="D249">
            <v>254299</v>
          </cell>
          <cell r="E249">
            <v>98880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</row>
        <row r="298">
          <cell r="B298">
            <v>5380950.720000001</v>
          </cell>
          <cell r="C298">
            <v>5956541.24</v>
          </cell>
          <cell r="D298">
            <v>6197978</v>
          </cell>
        </row>
        <row r="299">
          <cell r="B299">
            <v>112384.19</v>
          </cell>
          <cell r="C299">
            <v>112384</v>
          </cell>
          <cell r="D299">
            <v>0</v>
          </cell>
        </row>
        <row r="300">
          <cell r="B300">
            <v>1611553.0699999998</v>
          </cell>
          <cell r="C300">
            <v>1991222.29</v>
          </cell>
          <cell r="D300">
            <v>1549494.25</v>
          </cell>
        </row>
        <row r="302">
          <cell r="B302">
            <v>73496.23</v>
          </cell>
          <cell r="C302">
            <v>73496</v>
          </cell>
          <cell r="D302">
            <v>72521</v>
          </cell>
        </row>
        <row r="303">
          <cell r="B303">
            <v>538900.31</v>
          </cell>
          <cell r="C303">
            <v>538898.34</v>
          </cell>
          <cell r="D303">
            <v>695481.34</v>
          </cell>
        </row>
        <row r="304">
          <cell r="B304">
            <v>407693.47</v>
          </cell>
          <cell r="C304">
            <v>830430.23</v>
          </cell>
          <cell r="D304">
            <v>1125118.23</v>
          </cell>
        </row>
        <row r="306">
          <cell r="B306">
            <v>134287.91999999998</v>
          </cell>
          <cell r="C306">
            <v>134288.27</v>
          </cell>
          <cell r="D306">
            <v>134288.27</v>
          </cell>
        </row>
        <row r="307">
          <cell r="B307">
            <v>480086.3</v>
          </cell>
          <cell r="C307">
            <v>511290.3</v>
          </cell>
          <cell r="D307">
            <v>918831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107529</v>
          </cell>
          <cell r="C309">
            <v>107529</v>
          </cell>
          <cell r="D309">
            <v>119436</v>
          </cell>
        </row>
        <row r="311">
          <cell r="B311">
            <v>98576.95000000001</v>
          </cell>
          <cell r="C311">
            <v>98576.95000000001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heet1"/>
      <sheetName val="Sheet2"/>
    </sheetNames>
    <sheetDataSet>
      <sheetData sheetId="0">
        <row r="90">
          <cell r="B90">
            <v>33808644.38</v>
          </cell>
          <cell r="C90">
            <v>38459450.64</v>
          </cell>
          <cell r="D90">
            <v>28932083</v>
          </cell>
        </row>
        <row r="132">
          <cell r="B132">
            <v>3492679.2</v>
          </cell>
          <cell r="C132">
            <v>18492679.2</v>
          </cell>
          <cell r="D132">
            <v>3594297.36907</v>
          </cell>
        </row>
        <row r="243">
          <cell r="B243">
            <v>187198.8</v>
          </cell>
          <cell r="C243">
            <v>187198.8</v>
          </cell>
          <cell r="D243">
            <v>206654</v>
          </cell>
        </row>
        <row r="292">
          <cell r="B292">
            <v>2600066.08</v>
          </cell>
          <cell r="C292">
            <v>2600066.08</v>
          </cell>
          <cell r="D292">
            <v>2514010.56</v>
          </cell>
        </row>
        <row r="293">
          <cell r="B293">
            <v>17640.13</v>
          </cell>
          <cell r="C293">
            <v>17640.13</v>
          </cell>
          <cell r="D293">
            <v>23000</v>
          </cell>
        </row>
        <row r="294">
          <cell r="B294">
            <v>586782.3</v>
          </cell>
          <cell r="C294">
            <v>586782.3</v>
          </cell>
          <cell r="D294">
            <v>611527.23</v>
          </cell>
        </row>
        <row r="296">
          <cell r="B296">
            <v>254892.41999999998</v>
          </cell>
          <cell r="C296">
            <v>254892.41999999998</v>
          </cell>
          <cell r="D296">
            <v>234000</v>
          </cell>
        </row>
        <row r="297">
          <cell r="B297">
            <v>1262502.34</v>
          </cell>
          <cell r="C297">
            <v>1262502.34</v>
          </cell>
          <cell r="D297">
            <v>835136.57907</v>
          </cell>
        </row>
        <row r="298">
          <cell r="B298">
            <v>69102.1</v>
          </cell>
          <cell r="C298">
            <v>69102.1</v>
          </cell>
          <cell r="D298">
            <v>124596</v>
          </cell>
        </row>
        <row r="300">
          <cell r="B300">
            <v>273568.23</v>
          </cell>
          <cell r="C300">
            <v>273568.23</v>
          </cell>
          <cell r="D300">
            <v>544388</v>
          </cell>
        </row>
        <row r="301">
          <cell r="B301">
            <v>31935853.740000002</v>
          </cell>
          <cell r="C301">
            <v>51586660</v>
          </cell>
          <cell r="D301">
            <v>27514965</v>
          </cell>
        </row>
        <row r="303">
          <cell r="B303">
            <v>187198.8</v>
          </cell>
          <cell r="C303">
            <v>187198.8</v>
          </cell>
          <cell r="D303">
            <v>206654</v>
          </cell>
        </row>
        <row r="305">
          <cell r="B305">
            <v>300916.24</v>
          </cell>
          <cell r="C305">
            <v>300916.24</v>
          </cell>
          <cell r="D305">
            <v>124757</v>
          </cell>
        </row>
      </sheetData>
      <sheetData sheetId="1">
        <row r="46">
          <cell r="D46">
            <v>24281276.23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4">
          <cell r="B24">
            <v>0</v>
          </cell>
          <cell r="C24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35" zoomScaleNormal="35" zoomScalePageLayoutView="0" workbookViewId="0" topLeftCell="A1">
      <selection activeCell="F76" sqref="A1:F76"/>
    </sheetView>
  </sheetViews>
  <sheetFormatPr defaultColWidth="50.3359375" defaultRowHeight="15"/>
  <cols>
    <col min="1" max="1" width="255.77734375" style="56" bestFit="1" customWidth="1"/>
    <col min="2" max="4" width="76.6640625" style="51" bestFit="1" customWidth="1"/>
    <col min="5" max="5" width="70.88671875" style="51" bestFit="1" customWidth="1"/>
    <col min="6" max="6" width="72.66406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79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8"/>
      <c r="C7" s="70"/>
      <c r="D7" s="70"/>
      <c r="E7" s="72"/>
      <c r="F7" s="71"/>
    </row>
    <row r="8" spans="1:6" ht="91.5">
      <c r="A8" s="73" t="s">
        <v>13</v>
      </c>
      <c r="B8" s="74">
        <f>LUMCON!B8+BOR!B8+'TOTAL ULS SYSTEM'!B8+'TOTAL LSU SYSTEM'!B8+'TOTAL SU SYSTEM'!B8+'TOTAL LCTCS'!B8</f>
        <v>1256040617.99</v>
      </c>
      <c r="C8" s="74">
        <f>LUMCON!C8+BOR!C8+'TOTAL ULS SYSTEM'!C8+'TOTAL LSU SYSTEM'!C8+'TOTAL SU SYSTEM'!C8+'TOTAL LCTCS'!C8</f>
        <v>1256040618</v>
      </c>
      <c r="D8" s="74">
        <f>LUMCON!D8+BOR!D8+'TOTAL ULS SYSTEM'!D8+'TOTAL LSU SYSTEM'!D8+'TOTAL SU SYSTEM'!D8+'TOTAL LCTCS'!D8</f>
        <v>1412061625</v>
      </c>
      <c r="E8" s="74">
        <f>LUMCON!E8+BOR!E8+'TOTAL ULS SYSTEM'!E8+'TOTAL LSU SYSTEM'!E8+'TOTAL SU SYSTEM'!E8+'TOTAL LCTCS'!E8</f>
        <v>156021007</v>
      </c>
      <c r="F8" s="75">
        <f>IF(ISERROR(E8/C8),0,(E8/C8))</f>
        <v>0.1242165299147993</v>
      </c>
    </row>
    <row r="9" spans="1:6" ht="91.5">
      <c r="A9" s="76" t="s">
        <v>60</v>
      </c>
      <c r="B9" s="74">
        <f>SUM(B10:B23)</f>
        <v>157920974.63</v>
      </c>
      <c r="C9" s="74">
        <f>LUMCON!C9+BOR!C9+'TOTAL ULS SYSTEM'!C9+'TOTAL LSU SYSTEM'!C9+'TOTAL SU SYSTEM'!C9+'TOTAL LCTCS'!C9</f>
        <v>161692741</v>
      </c>
      <c r="D9" s="74">
        <f>LUMCON!D9+BOR!D9+'TOTAL ULS SYSTEM'!D9+'TOTAL LSU SYSTEM'!D9+'TOTAL SU SYSTEM'!D9+'TOTAL LCTCS'!D9</f>
        <v>163826505</v>
      </c>
      <c r="E9" s="74">
        <f>LUMCON!E9+BOR!E9+'TOTAL ULS SYSTEM'!E9+'TOTAL LSU SYSTEM'!E9+'TOTAL SU SYSTEM'!E9+'TOTAL LCTCS'!E9</f>
        <v>2133764</v>
      </c>
      <c r="F9" s="75">
        <f aca="true" t="shared" si="0" ref="F9:F30">IF(ISERROR(E9/C9),0,(E9/C9))</f>
        <v>0.01319641182902577</v>
      </c>
    </row>
    <row r="10" spans="1:6" ht="91.5">
      <c r="A10" s="77" t="s">
        <v>61</v>
      </c>
      <c r="B10" s="78">
        <f>LUMCON!B10+BOR!B10+'TOTAL ULS SYSTEM'!B10+'TOTAL LSU SYSTEM'!B10+'TOTAL SU SYSTEM'!B10+'TOTAL LCTCS'!B10</f>
        <v>41935018.18</v>
      </c>
      <c r="C10" s="78">
        <f>LUMCON!C10+BOR!C10+'TOTAL ULS SYSTEM'!C10+'TOTAL LSU SYSTEM'!C10+'TOTAL SU SYSTEM'!C10+'TOTAL LCTCS'!C10</f>
        <v>42723374</v>
      </c>
      <c r="D10" s="78">
        <f>LUMCON!D10+BOR!D10+'TOTAL ULS SYSTEM'!D10+'TOTAL LSU SYSTEM'!D10+'TOTAL SU SYSTEM'!D10+'TOTAL LCTCS'!D10</f>
        <v>40055799</v>
      </c>
      <c r="E10" s="78">
        <f>LUMCON!E10+BOR!E10+'TOTAL ULS SYSTEM'!E10+'TOTAL LSU SYSTEM'!E10+'TOTAL SU SYSTEM'!E10+'TOTAL LCTCS'!E10</f>
        <v>-2667575</v>
      </c>
      <c r="F10" s="79">
        <f t="shared" si="0"/>
        <v>-0.06243830367891824</v>
      </c>
    </row>
    <row r="11" spans="1:6" ht="91.5">
      <c r="A11" s="80" t="s">
        <v>62</v>
      </c>
      <c r="B11" s="78">
        <f>LUMCON!B11+BOR!B11+'TOTAL ULS SYSTEM'!B11+'TOTAL LSU SYSTEM'!B11+'TOTAL SU SYSTEM'!B11+'TOTAL LCTCS'!B11</f>
        <v>47723512.24</v>
      </c>
      <c r="C11" s="78">
        <f>LUMCON!C11+BOR!C11+'TOTAL ULS SYSTEM'!C11+'TOTAL LSU SYSTEM'!C11+'TOTAL SU SYSTEM'!C11+'TOTAL LCTCS'!C11</f>
        <v>47723513</v>
      </c>
      <c r="D11" s="78">
        <f>LUMCON!D11+BOR!D11+'TOTAL ULS SYSTEM'!D11+'TOTAL LSU SYSTEM'!D11+'TOTAL SU SYSTEM'!D11+'TOTAL LCTCS'!D11</f>
        <v>49355712</v>
      </c>
      <c r="E11" s="78">
        <f>LUMCON!E11+BOR!E11+'TOTAL ULS SYSTEM'!E11+'TOTAL LSU SYSTEM'!E11+'TOTAL SU SYSTEM'!E11+'TOTAL LCTCS'!E11</f>
        <v>1632199</v>
      </c>
      <c r="F11" s="79">
        <f t="shared" si="0"/>
        <v>0.03420114944178564</v>
      </c>
    </row>
    <row r="12" spans="1:6" ht="91.5">
      <c r="A12" s="80" t="s">
        <v>65</v>
      </c>
      <c r="B12" s="78">
        <f>LUMCON!B12+BOR!B12+'TOTAL ULS SYSTEM'!B12+'TOTAL LSU SYSTEM'!B12+'TOTAL SU SYSTEM'!B12+'TOTAL LCTCS'!B12</f>
        <v>29162614</v>
      </c>
      <c r="C12" s="78">
        <f>LUMCON!C12+BOR!C12+'TOTAL ULS SYSTEM'!C12+'TOTAL LSU SYSTEM'!C12+'TOTAL SU SYSTEM'!C12+'TOTAL LCTCS'!C12</f>
        <v>29162614</v>
      </c>
      <c r="D12" s="78">
        <f>LUMCON!D12+BOR!D12+'TOTAL ULS SYSTEM'!D12+'TOTAL LSU SYSTEM'!D12+'TOTAL SU SYSTEM'!D12+'TOTAL LCTCS'!D12</f>
        <v>28081357</v>
      </c>
      <c r="E12" s="78">
        <f>LUMCON!E12+BOR!E12+'TOTAL ULS SYSTEM'!E12+'TOTAL LSU SYSTEM'!E12+'TOTAL SU SYSTEM'!E12+'TOTAL LCTCS'!E12</f>
        <v>-1081257</v>
      </c>
      <c r="F12" s="79">
        <f t="shared" si="0"/>
        <v>-0.037076820342648295</v>
      </c>
    </row>
    <row r="13" spans="1:6" ht="91.5">
      <c r="A13" s="80" t="s">
        <v>66</v>
      </c>
      <c r="B13" s="78">
        <f>LUMCON!B13+BOR!B13+'TOTAL ULS SYSTEM'!B13+'TOTAL LSU SYSTEM'!B13+'TOTAL SU SYSTEM'!B13+'TOTAL LCTCS'!B13</f>
        <v>467298</v>
      </c>
      <c r="C13" s="78">
        <f>LUMCON!C13+BOR!C13+'TOTAL ULS SYSTEM'!C13+'TOTAL LSU SYSTEM'!C13+'TOTAL SU SYSTEM'!C13+'TOTAL LCTCS'!C13</f>
        <v>467298</v>
      </c>
      <c r="D13" s="78">
        <f>LUMCON!D13+BOR!D13+'TOTAL ULS SYSTEM'!D13+'TOTAL LSU SYSTEM'!D13+'TOTAL SU SYSTEM'!D13+'TOTAL LCTCS'!D13</f>
        <v>734987</v>
      </c>
      <c r="E13" s="78">
        <f>LUMCON!E13+BOR!E13+'TOTAL ULS SYSTEM'!E13+'TOTAL LSU SYSTEM'!E13+'TOTAL SU SYSTEM'!E13+'TOTAL LCTCS'!E13</f>
        <v>267689</v>
      </c>
      <c r="F13" s="79">
        <f t="shared" si="0"/>
        <v>0.572844309198841</v>
      </c>
    </row>
    <row r="14" spans="1:6" ht="91.5">
      <c r="A14" s="80" t="s">
        <v>67</v>
      </c>
      <c r="B14" s="78">
        <f>LUMCON!B14+BOR!B14+'TOTAL ULS SYSTEM'!B14+'TOTAL LSU SYSTEM'!B14+'TOTAL SU SYSTEM'!B14+'TOTAL LCTCS'!B14</f>
        <v>50000</v>
      </c>
      <c r="C14" s="78">
        <f>LUMCON!C14+BOR!C14+'TOTAL ULS SYSTEM'!C14+'TOTAL LSU SYSTEM'!C14+'TOTAL SU SYSTEM'!C14+'TOTAL LCTCS'!C14</f>
        <v>50000</v>
      </c>
      <c r="D14" s="78">
        <f>LUMCON!D14+BOR!D14+'TOTAL ULS SYSTEM'!D14+'TOTAL LSU SYSTEM'!D14+'TOTAL SU SYSTEM'!D14+'TOTAL LCTCS'!D14</f>
        <v>50000</v>
      </c>
      <c r="E14" s="78">
        <f>LUMCON!E14+BOR!E14+'TOTAL ULS SYSTEM'!E14+'TOTAL LSU SYSTEM'!E14+'TOTAL SU SYSTEM'!E14+'TOTAL LCTCS'!E14</f>
        <v>0</v>
      </c>
      <c r="F14" s="79">
        <f t="shared" si="0"/>
        <v>0</v>
      </c>
    </row>
    <row r="15" spans="1:6" ht="91.5">
      <c r="A15" s="80" t="s">
        <v>74</v>
      </c>
      <c r="B15" s="78">
        <f>LUMCON!B15+BOR!B15+'TOTAL ULS SYSTEM'!B15+'TOTAL LSU SYSTEM'!B15+'TOTAL SU SYSTEM'!B15+'TOTAL LCTCS'!B15</f>
        <v>750000</v>
      </c>
      <c r="C15" s="78">
        <f>LUMCON!C15+BOR!C15+'TOTAL ULS SYSTEM'!C15+'TOTAL LSU SYSTEM'!C15+'TOTAL SU SYSTEM'!C15+'TOTAL LCTCS'!C15</f>
        <v>750000</v>
      </c>
      <c r="D15" s="78">
        <f>LUMCON!D15+BOR!D15+'TOTAL ULS SYSTEM'!D15+'TOTAL LSU SYSTEM'!D15+'TOTAL SU SYSTEM'!D15+'TOTAL LCTCS'!D15</f>
        <v>750000</v>
      </c>
      <c r="E15" s="78">
        <f>LUMCON!E15+BOR!E15+'TOTAL ULS SYSTEM'!E15+'TOTAL LSU SYSTEM'!E15+'TOTAL SU SYSTEM'!E15+'TOTAL LCTCS'!E15</f>
        <v>0</v>
      </c>
      <c r="F15" s="79">
        <f t="shared" si="0"/>
        <v>0</v>
      </c>
    </row>
    <row r="16" spans="1:6" ht="91.5">
      <c r="A16" s="80" t="s">
        <v>63</v>
      </c>
      <c r="B16" s="78">
        <f>LUMCON!B16+BOR!B16+'TOTAL ULS SYSTEM'!B16+'TOTAL LSU SYSTEM'!B16+'TOTAL SU SYSTEM'!B16+'TOTAL LCTCS'!B16</f>
        <v>750000</v>
      </c>
      <c r="C16" s="78">
        <f>LUMCON!C16+BOR!C16+'TOTAL ULS SYSTEM'!C16+'TOTAL LSU SYSTEM'!C16+'TOTAL SU SYSTEM'!C16+'TOTAL LCTCS'!C16</f>
        <v>750000</v>
      </c>
      <c r="D16" s="78">
        <f>LUMCON!D16+BOR!D16+'TOTAL ULS SYSTEM'!D16+'TOTAL LSU SYSTEM'!D16+'TOTAL SU SYSTEM'!D16+'TOTAL LCTCS'!D16</f>
        <v>750000</v>
      </c>
      <c r="E16" s="78">
        <f>LUMCON!E16+BOR!E16+'TOTAL ULS SYSTEM'!E16+'TOTAL LSU SYSTEM'!E16+'TOTAL SU SYSTEM'!E16+'TOTAL LCTCS'!E16</f>
        <v>0</v>
      </c>
      <c r="F16" s="79">
        <f t="shared" si="0"/>
        <v>0</v>
      </c>
    </row>
    <row r="17" spans="1:6" ht="91.5">
      <c r="A17" s="80" t="s">
        <v>64</v>
      </c>
      <c r="B17" s="78">
        <f>LUMCON!B17+BOR!B17+'TOTAL ULS SYSTEM'!B17+'TOTAL LSU SYSTEM'!B17+'TOTAL SU SYSTEM'!B17+'TOTAL LCTCS'!B17</f>
        <v>2327313</v>
      </c>
      <c r="C17" s="78">
        <f>LUMCON!C17+BOR!C17+'TOTAL ULS SYSTEM'!C17+'TOTAL LSU SYSTEM'!C17+'TOTAL SU SYSTEM'!C17+'TOTAL LCTCS'!C17</f>
        <v>2327313</v>
      </c>
      <c r="D17" s="78">
        <f>LUMCON!D17+BOR!D17+'TOTAL ULS SYSTEM'!D17+'TOTAL LSU SYSTEM'!D17+'TOTAL SU SYSTEM'!D17+'TOTAL LCTCS'!D17</f>
        <v>2327313</v>
      </c>
      <c r="E17" s="78">
        <f>LUMCON!E17+BOR!E17+'TOTAL ULS SYSTEM'!E17+'TOTAL LSU SYSTEM'!E17+'TOTAL SU SYSTEM'!E17+'TOTAL LCTCS'!E17</f>
        <v>0</v>
      </c>
      <c r="F17" s="79">
        <f t="shared" si="0"/>
        <v>0</v>
      </c>
    </row>
    <row r="18" spans="1:6" ht="91.5">
      <c r="A18" s="80" t="s">
        <v>73</v>
      </c>
      <c r="B18" s="78">
        <f>LUMCON!B18+BOR!B18+'TOTAL ULS SYSTEM'!B18+'TOTAL LSU SYSTEM'!B18+'TOTAL SU SYSTEM'!B18+'TOTAL LCTCS'!B18</f>
        <v>140000</v>
      </c>
      <c r="C18" s="78">
        <f>LUMCON!C18+BOR!C18+'TOTAL ULS SYSTEM'!C18+'TOTAL LSU SYSTEM'!C18+'TOTAL SU SYSTEM'!C18+'TOTAL LCTCS'!C18</f>
        <v>140000</v>
      </c>
      <c r="D18" s="78">
        <f>LUMCON!D18+BOR!D18+'TOTAL ULS SYSTEM'!D18+'TOTAL LSU SYSTEM'!D18+'TOTAL SU SYSTEM'!D18+'TOTAL LCTCS'!D18</f>
        <v>210000</v>
      </c>
      <c r="E18" s="78">
        <f>LUMCON!E18+BOR!E18+'TOTAL ULS SYSTEM'!E18+'TOTAL LSU SYSTEM'!E18+'TOTAL SU SYSTEM'!E18+'TOTAL LCTCS'!E18</f>
        <v>70000</v>
      </c>
      <c r="F18" s="79">
        <f t="shared" si="0"/>
        <v>0.5</v>
      </c>
    </row>
    <row r="19" spans="1:6" ht="91.5">
      <c r="A19" s="80" t="s">
        <v>96</v>
      </c>
      <c r="B19" s="78">
        <f>BOR!B23+'TOTAL ULS SYSTEM'!B19+'TOTAL LCTCS'!B23</f>
        <v>583498</v>
      </c>
      <c r="C19" s="78">
        <f>BOR!C23+'TOTAL ULS SYSTEM'!C19+'TOTAL LCTCS'!C23</f>
        <v>777997</v>
      </c>
      <c r="D19" s="78">
        <f>BOR!D23+'TOTAL ULS SYSTEM'!D19+'TOTAL LCTCS'!D23</f>
        <v>0</v>
      </c>
      <c r="E19" s="78">
        <f>BOR!E23+'TOTAL ULS SYSTEM'!E19+'TOTAL LCTCS'!E23</f>
        <v>-777997</v>
      </c>
      <c r="F19" s="79">
        <f t="shared" si="0"/>
        <v>-1</v>
      </c>
    </row>
    <row r="20" spans="1:6" ht="91.5">
      <c r="A20" s="80" t="s">
        <v>68</v>
      </c>
      <c r="B20" s="78">
        <f>LUMCON!B19+BOR!B19+'TOTAL ULS SYSTEM'!B20+'TOTAL LSU SYSTEM'!B19+'TOTAL SU SYSTEM'!B19+'TOTAL LCTCS'!B19</f>
        <v>489881.02</v>
      </c>
      <c r="C20" s="78">
        <f>LUMCON!C19+BOR!C19+'TOTAL ULS SYSTEM'!C20+'TOTAL LSU SYSTEM'!C19+'TOTAL SU SYSTEM'!C19+'TOTAL LCTCS'!C19</f>
        <v>1079624</v>
      </c>
      <c r="D20" s="78">
        <f>LUMCON!D19+BOR!D19+'TOTAL ULS SYSTEM'!D20+'TOTAL LSU SYSTEM'!D19+'TOTAL SU SYSTEM'!D19+'TOTAL LCTCS'!D19</f>
        <v>0</v>
      </c>
      <c r="E20" s="78">
        <f>LUMCON!E19+BOR!E19+'TOTAL ULS SYSTEM'!E20+'TOTAL LSU SYSTEM'!E19+'TOTAL SU SYSTEM'!E19+'TOTAL LCTCS'!E19</f>
        <v>-1079624</v>
      </c>
      <c r="F20" s="79">
        <f t="shared" si="0"/>
        <v>-1</v>
      </c>
    </row>
    <row r="21" spans="1:6" ht="91.5">
      <c r="A21" s="80" t="s">
        <v>69</v>
      </c>
      <c r="B21" s="78">
        <f>LUMCON!B20+BOR!B20+'TOTAL ULS SYSTEM'!B21+'TOTAL LSU SYSTEM'!B20+'TOTAL SU SYSTEM'!B20+'TOTAL LCTCS'!B20</f>
        <v>338851</v>
      </c>
      <c r="C21" s="78">
        <f>LUMCON!C20+BOR!C20+'TOTAL ULS SYSTEM'!C21+'TOTAL LSU SYSTEM'!C20+'TOTAL SU SYSTEM'!C20+'TOTAL LCTCS'!C20</f>
        <v>341008</v>
      </c>
      <c r="D21" s="78">
        <f>LUMCON!D20+BOR!D20+'TOTAL ULS SYSTEM'!D21+'TOTAL LSU SYSTEM'!D20+'TOTAL SU SYSTEM'!D20+'TOTAL LCTCS'!D20</f>
        <v>0</v>
      </c>
      <c r="E21" s="78">
        <f>LUMCON!E20+BOR!E20+'TOTAL ULS SYSTEM'!E21+'TOTAL LSU SYSTEM'!E20+'TOTAL SU SYSTEM'!E20+'TOTAL LCTCS'!E20</f>
        <v>-341008</v>
      </c>
      <c r="F21" s="79">
        <f t="shared" si="0"/>
        <v>-1</v>
      </c>
    </row>
    <row r="22" spans="1:6" ht="91.5">
      <c r="A22" s="81" t="s">
        <v>70</v>
      </c>
      <c r="B22" s="78">
        <f>LUMCON!B21+BOR!B21+'TOTAL ULS SYSTEM'!B22+'TOTAL LSU SYSTEM'!B21+'TOTAL SU SYSTEM'!B21+'TOTAL LCTCS'!B21</f>
        <v>33108100.24</v>
      </c>
      <c r="C22" s="78">
        <f>LUMCON!C21+BOR!C21+'TOTAL ULS SYSTEM'!C22+'TOTAL LSU SYSTEM'!C21+'TOTAL SU SYSTEM'!C21+'TOTAL LCTCS'!C21</f>
        <v>35000000</v>
      </c>
      <c r="D22" s="78">
        <f>LUMCON!D21+BOR!D21+'TOTAL ULS SYSTEM'!D22+'TOTAL LSU SYSTEM'!D21+'TOTAL SU SYSTEM'!D21+'TOTAL LCTCS'!D21</f>
        <v>39611337</v>
      </c>
      <c r="E22" s="78">
        <f>LUMCON!E21+BOR!E21+'TOTAL ULS SYSTEM'!E22+'TOTAL LSU SYSTEM'!E21+'TOTAL SU SYSTEM'!E21+'TOTAL LCTCS'!E21</f>
        <v>4611337</v>
      </c>
      <c r="F22" s="79">
        <f t="shared" si="0"/>
        <v>0.13175248571428572</v>
      </c>
    </row>
    <row r="23" spans="1:6" ht="91.5">
      <c r="A23" s="130" t="s">
        <v>71</v>
      </c>
      <c r="B23" s="129">
        <f>LUMCON!B22+BOR!B22+'TOTAL ULS SYSTEM'!B23+'TOTAL LSU SYSTEM'!B22+'TOTAL SU SYSTEM'!B22+'TOTAL LCTCS'!B22</f>
        <v>94888.95</v>
      </c>
      <c r="C23" s="129">
        <f>LUMCON!C22+BOR!C22+'TOTAL ULS SYSTEM'!C23+'TOTAL LSU SYSTEM'!C22+'TOTAL SU SYSTEM'!C22+'TOTAL LCTCS'!C22</f>
        <v>400000</v>
      </c>
      <c r="D23" s="129">
        <f>LUMCON!D22+BOR!D22+'TOTAL ULS SYSTEM'!D23+'TOTAL LSU SYSTEM'!D22+'TOTAL SU SYSTEM'!D22+'TOTAL LCTCS'!D22</f>
        <v>400000</v>
      </c>
      <c r="E23" s="129">
        <f>LUMCON!E22+BOR!E22+'TOTAL ULS SYSTEM'!E23+'TOTAL LSU SYSTEM'!E22+'TOTAL SU SYSTEM'!E22+'TOTAL LCTCS'!E22</f>
        <v>0</v>
      </c>
      <c r="F23" s="79">
        <f t="shared" si="0"/>
        <v>0</v>
      </c>
    </row>
    <row r="24" spans="1:6" ht="91.5">
      <c r="A24" s="130" t="s">
        <v>195</v>
      </c>
      <c r="B24" s="162">
        <f>BOR!B24</f>
        <v>0</v>
      </c>
      <c r="C24" s="162">
        <f>BOR!C24</f>
        <v>0</v>
      </c>
      <c r="D24" s="162">
        <f>BOR!D24</f>
        <v>1500000</v>
      </c>
      <c r="E24" s="162">
        <f>D24-C24</f>
        <v>1500000</v>
      </c>
      <c r="F24" s="144">
        <f t="shared" si="0"/>
        <v>0</v>
      </c>
    </row>
    <row r="25" spans="1:6" ht="91.5">
      <c r="A25" s="82" t="s">
        <v>50</v>
      </c>
      <c r="B25" s="120">
        <f>B26</f>
        <v>0</v>
      </c>
      <c r="C25" s="120">
        <f>C26</f>
        <v>0</v>
      </c>
      <c r="D25" s="120">
        <f>D26</f>
        <v>0</v>
      </c>
      <c r="E25" s="120">
        <f>E26</f>
        <v>0</v>
      </c>
      <c r="F25" s="136">
        <f t="shared" si="0"/>
        <v>0</v>
      </c>
    </row>
    <row r="26" spans="1:6" ht="91.5">
      <c r="A26" s="77" t="s">
        <v>53</v>
      </c>
      <c r="B26" s="78">
        <v>0</v>
      </c>
      <c r="C26" s="78">
        <v>0</v>
      </c>
      <c r="D26" s="78">
        <v>0</v>
      </c>
      <c r="E26" s="78">
        <f>LUMCON!E24+BOR!E25+'TOTAL ULS SYSTEM'!E25+'TOTAL LSU SYSTEM'!E24+'TOTAL SU SYSTEM'!E24+'TOTAL LCTCS'!E24</f>
        <v>0</v>
      </c>
      <c r="F26" s="79">
        <f t="shared" si="0"/>
        <v>0</v>
      </c>
    </row>
    <row r="27" spans="1:6" ht="91.5">
      <c r="A27" s="76" t="s">
        <v>52</v>
      </c>
      <c r="B27" s="83">
        <f>B28</f>
        <v>0</v>
      </c>
      <c r="C27" s="83">
        <f>C28</f>
        <v>0</v>
      </c>
      <c r="D27" s="83">
        <f>D28</f>
        <v>0</v>
      </c>
      <c r="E27" s="83">
        <f>E28</f>
        <v>0</v>
      </c>
      <c r="F27" s="75">
        <f t="shared" si="0"/>
        <v>0</v>
      </c>
    </row>
    <row r="28" spans="1:6" ht="91.5">
      <c r="A28" s="77" t="s">
        <v>53</v>
      </c>
      <c r="B28" s="78">
        <f>LUMCON!B26+BOR!B28+'TOTAL ULS SYSTEM'!B27+'TOTAL LSU SYSTEM'!B28+'TOTAL SU SYSTEM'!B28+'TOTAL LCTCS'!B27</f>
        <v>0</v>
      </c>
      <c r="C28" s="78">
        <f>LUMCON!C26+BOR!C28+'TOTAL ULS SYSTEM'!C27+'TOTAL LSU SYSTEM'!C28+'TOTAL SU SYSTEM'!C28+'TOTAL LCTCS'!C27</f>
        <v>0</v>
      </c>
      <c r="D28" s="78">
        <f>LUMCON!D26+BOR!D28+'TOTAL ULS SYSTEM'!D27+'TOTAL LSU SYSTEM'!D28+'TOTAL SU SYSTEM'!D28+'TOTAL LCTCS'!D27</f>
        <v>0</v>
      </c>
      <c r="E28" s="78">
        <f>LUMCON!E26+BOR!E28+'TOTAL ULS SYSTEM'!E27+'TOTAL LSU SYSTEM'!E28+'TOTAL SU SYSTEM'!E28+'TOTAL LCTCS'!E27</f>
        <v>0</v>
      </c>
      <c r="F28" s="79">
        <f t="shared" si="0"/>
        <v>0</v>
      </c>
    </row>
    <row r="29" spans="1:6" ht="91.5">
      <c r="A29" s="80" t="s">
        <v>54</v>
      </c>
      <c r="B29" s="78">
        <f>LUMCON!B27+BOR!B29+'TOTAL ULS SYSTEM'!B28+'TOTAL LSU SYSTEM'!B29+'TOTAL SU SYSTEM'!B29+'TOTAL LCTCS'!B28</f>
        <v>1130261</v>
      </c>
      <c r="C29" s="78">
        <f>LUMCON!C27+BOR!C29+'TOTAL ULS SYSTEM'!C28+'TOTAL LSU SYSTEM'!C29+'TOTAL SU SYSTEM'!C29+'TOTAL LCTCS'!C28</f>
        <v>1400000</v>
      </c>
      <c r="D29" s="78">
        <f>LUMCON!D27+BOR!D29+'TOTAL ULS SYSTEM'!D28+'TOTAL LSU SYSTEM'!D29+'TOTAL SU SYSTEM'!D29+'TOTAL LCTCS'!D28</f>
        <v>0</v>
      </c>
      <c r="E29" s="78">
        <f>LUMCON!E27+BOR!E29+'TOTAL ULS SYSTEM'!E28+'TOTAL LSU SYSTEM'!E29+'TOTAL SU SYSTEM'!E29+'TOTAL LCTCS'!E28</f>
        <v>-1400000</v>
      </c>
      <c r="F29" s="79">
        <f t="shared" si="0"/>
        <v>-1</v>
      </c>
    </row>
    <row r="30" spans="1:6" s="50" customFormat="1" ht="90">
      <c r="A30" s="76" t="s">
        <v>14</v>
      </c>
      <c r="B30" s="74">
        <f>B29+B28+B9+B8</f>
        <v>1415091853.62</v>
      </c>
      <c r="C30" s="74">
        <f>C29+C28+C9+C8</f>
        <v>1419133359</v>
      </c>
      <c r="D30" s="74">
        <f>D29+D28+D9+D8+1</f>
        <v>1575888131</v>
      </c>
      <c r="E30" s="74">
        <f>E29+E28+E9+E8</f>
        <v>156754771</v>
      </c>
      <c r="F30" s="75">
        <f t="shared" si="0"/>
        <v>0.11045809754656045</v>
      </c>
    </row>
    <row r="31" spans="1:6" ht="91.5">
      <c r="A31" s="76"/>
      <c r="B31" s="86"/>
      <c r="C31" s="86"/>
      <c r="D31" s="86"/>
      <c r="E31" s="86"/>
      <c r="F31" s="87"/>
    </row>
    <row r="32" spans="1:6" s="50" customFormat="1" ht="90">
      <c r="A32" s="131" t="s">
        <v>78</v>
      </c>
      <c r="B32" s="120">
        <f>LUMCON!B30+BOR!B32+'TOTAL ULS SYSTEM'!B31+'TOTAL LSU SYSTEM'!B32+'TOTAL SU SYSTEM'!B32+'TOTAL LCTCS'!B31</f>
        <v>-5245956</v>
      </c>
      <c r="C32" s="120">
        <f>LUMCON!C30+BOR!C32+'TOTAL ULS SYSTEM'!C31+'TOTAL LSU SYSTEM'!C32+'TOTAL SU SYSTEM'!C32+'TOTAL LCTCS'!C31</f>
        <v>0</v>
      </c>
      <c r="D32" s="120">
        <f>LUMCON!D30+BOR!D32+'TOTAL ULS SYSTEM'!D31+'TOTAL LSU SYSTEM'!D32+'TOTAL SU SYSTEM'!D32+'TOTAL LCTCS'!D31</f>
        <v>0</v>
      </c>
      <c r="E32" s="120">
        <f>LUMCON!E30+BOR!E32+'TOTAL ULS SYSTEM'!E31+'TOTAL LSU SYSTEM'!E32+'TOTAL SU SYSTEM'!E32+'TOTAL LCTCS'!E31</f>
        <v>0</v>
      </c>
      <c r="F32" s="132">
        <f>IF(ISERROR(E32/C32),0,(E32/C32))</f>
        <v>0</v>
      </c>
    </row>
    <row r="33" spans="1:6" ht="91.5">
      <c r="A33" s="82" t="s">
        <v>0</v>
      </c>
      <c r="B33" s="159"/>
      <c r="C33" s="159"/>
      <c r="D33" s="159"/>
      <c r="E33" s="159"/>
      <c r="F33" s="160"/>
    </row>
    <row r="34" spans="1:6" s="50" customFormat="1" ht="90">
      <c r="A34" s="131" t="s">
        <v>15</v>
      </c>
      <c r="B34" s="120">
        <f>LUMCON!B32+BOR!B34+'TOTAL ULS SYSTEM'!B33+'TOTAL LSU SYSTEM'!B34+'TOTAL SU SYSTEM'!B34+'TOTAL LCTCS'!B33</f>
        <v>325931370.6</v>
      </c>
      <c r="C34" s="120">
        <f>LUMCON!C32+BOR!C34+'TOTAL ULS SYSTEM'!C33+'TOTAL LSU SYSTEM'!C34+'TOTAL SU SYSTEM'!C34+'TOTAL LCTCS'!C33</f>
        <v>378761573</v>
      </c>
      <c r="D34" s="120">
        <f>LUMCON!D32+BOR!D34+'TOTAL ULS SYSTEM'!D33+'TOTAL LSU SYSTEM'!D34+'TOTAL SU SYSTEM'!D34+'TOTAL LCTCS'!D33</f>
        <v>418220319</v>
      </c>
      <c r="E34" s="120">
        <f>LUMCON!E32+BOR!E34+'TOTAL ULS SYSTEM'!E33+'TOTAL LSU SYSTEM'!E34+'TOTAL SU SYSTEM'!E34+'TOTAL LCTCS'!E33</f>
        <v>39458746</v>
      </c>
      <c r="F34" s="136">
        <f>IF(ISERROR(E34/C34),0,(E34/C34))</f>
        <v>0.10417832434126045</v>
      </c>
    </row>
    <row r="35" spans="1:6" s="50" customFormat="1" ht="90">
      <c r="A35" s="133" t="s">
        <v>0</v>
      </c>
      <c r="B35" s="134"/>
      <c r="C35" s="134"/>
      <c r="D35" s="134"/>
      <c r="E35" s="134"/>
      <c r="F35" s="135"/>
    </row>
    <row r="36" spans="1:6" s="50" customFormat="1" ht="90">
      <c r="A36" s="131" t="s">
        <v>56</v>
      </c>
      <c r="B36" s="120">
        <f>LUMCON!B34+BOR!B36+'TOTAL ULS SYSTEM'!B35+'TOTAL LSU SYSTEM'!B36+'TOTAL SU SYSTEM'!B36+'TOTAL LCTCS'!B35</f>
        <v>686421489.47</v>
      </c>
      <c r="C36" s="120">
        <f>LUMCON!C34+BOR!C36+'TOTAL ULS SYSTEM'!C35+'TOTAL LSU SYSTEM'!C36+'TOTAL SU SYSTEM'!C36+'TOTAL LCTCS'!C35</f>
        <v>752346458</v>
      </c>
      <c r="D36" s="120">
        <f>LUMCON!D34+BOR!D36+'TOTAL ULS SYSTEM'!D35+'TOTAL LSU SYSTEM'!D36+'TOTAL SU SYSTEM'!D36+'TOTAL LCTCS'!D35</f>
        <v>742815644</v>
      </c>
      <c r="E36" s="120">
        <f>LUMCON!E34+BOR!E36+'TOTAL ULS SYSTEM'!E35+'TOTAL LSU SYSTEM'!E36+'TOTAL SU SYSTEM'!E36+'TOTAL LCTCS'!E35</f>
        <v>-9530814</v>
      </c>
      <c r="F36" s="136">
        <f>IF(ISERROR(E36/C36),0,(E36/C36))</f>
        <v>-0.012668118389679453</v>
      </c>
    </row>
    <row r="37" spans="1:6" s="50" customFormat="1" ht="90">
      <c r="A37" s="133" t="s">
        <v>0</v>
      </c>
      <c r="B37" s="134"/>
      <c r="C37" s="134"/>
      <c r="D37" s="134"/>
      <c r="E37" s="134"/>
      <c r="F37" s="135"/>
    </row>
    <row r="38" spans="1:6" s="50" customFormat="1" ht="90">
      <c r="A38" s="131" t="s">
        <v>16</v>
      </c>
      <c r="B38" s="120">
        <f>LUMCON!B36+BOR!B38+'TOTAL ULS SYSTEM'!B37+'TOTAL LSU SYSTEM'!B38+'TOTAL SU SYSTEM'!B38+'TOTAL LCTCS'!B37</f>
        <v>133615588.65</v>
      </c>
      <c r="C38" s="120">
        <f>LUMCON!C36+BOR!C38+'TOTAL ULS SYSTEM'!C37+'TOTAL LSU SYSTEM'!C38+'TOTAL SU SYSTEM'!C38+'TOTAL LCTCS'!C37</f>
        <v>151399713</v>
      </c>
      <c r="D38" s="120">
        <f>LUMCON!D36+BOR!D38+'TOTAL ULS SYSTEM'!D37+'TOTAL LSU SYSTEM'!D38+'TOTAL SU SYSTEM'!D38+'TOTAL LCTCS'!D37</f>
        <v>142560465</v>
      </c>
      <c r="E38" s="120">
        <f>LUMCON!E36+BOR!E38+'TOTAL ULS SYSTEM'!E37+'TOTAL LSU SYSTEM'!E38+'TOTAL SU SYSTEM'!E38+'TOTAL LCTCS'!E37</f>
        <v>-8839248</v>
      </c>
      <c r="F38" s="136">
        <f>IF(ISERROR(E38/C38),0,(E38/C38))</f>
        <v>-0.058383518864398375</v>
      </c>
    </row>
    <row r="39" spans="1:6" s="50" customFormat="1" ht="90">
      <c r="A39" s="133"/>
      <c r="B39" s="134"/>
      <c r="C39" s="134"/>
      <c r="D39" s="134"/>
      <c r="E39" s="134"/>
      <c r="F39" s="135"/>
    </row>
    <row r="40" spans="1:6" s="50" customFormat="1" ht="90">
      <c r="A40" s="131" t="s">
        <v>17</v>
      </c>
      <c r="B40" s="120">
        <f>LUMCON!B38+BOR!B40+'TOTAL ULS SYSTEM'!B39+'TOTAL LSU SYSTEM'!B40+'TOTAL SU SYSTEM'!B40+'TOTAL LCTCS'!B39</f>
        <v>2555814346.34</v>
      </c>
      <c r="C40" s="120">
        <f>LUMCON!C38+BOR!C40+'TOTAL ULS SYSTEM'!C39+'TOTAL LSU SYSTEM'!C40+'TOTAL SU SYSTEM'!C40+'TOTAL LCTCS'!C39</f>
        <v>2701641103</v>
      </c>
      <c r="D40" s="120">
        <f>LUMCON!D38+BOR!D40+'TOTAL ULS SYSTEM'!D39+'TOTAL LSU SYSTEM'!D40+'TOTAL SU SYSTEM'!D40+'TOTAL LCTCS'!D39</f>
        <v>2879484559</v>
      </c>
      <c r="E40" s="120">
        <f>LUMCON!E38+BOR!E40+'TOTAL ULS SYSTEM'!E39+'TOTAL LSU SYSTEM'!E40+'TOTAL SU SYSTEM'!E40+'TOTAL LCTCS'!E39</f>
        <v>177843456</v>
      </c>
      <c r="F40" s="136">
        <f>IF(ISERROR(E40/C40),0,(E40/C40))</f>
        <v>0.06582793539916024</v>
      </c>
    </row>
    <row r="41" spans="1:6" ht="91.5">
      <c r="A41" s="146" t="s">
        <v>18</v>
      </c>
      <c r="B41" s="134"/>
      <c r="C41" s="134"/>
      <c r="D41" s="134"/>
      <c r="E41" s="134"/>
      <c r="F41" s="147"/>
    </row>
    <row r="42" spans="1:6" ht="91.5">
      <c r="A42" s="137" t="s">
        <v>19</v>
      </c>
      <c r="B42" s="138">
        <f>LUMCON!B40+BOR!B42+'TOTAL ULS SYSTEM'!B41+'TOTAL LSU SYSTEM'!B42+'TOTAL SU SYSTEM'!B42+'TOTAL LCTCS'!B41-3</f>
        <v>808904573.463</v>
      </c>
      <c r="C42" s="138">
        <f>LUMCON!C40+BOR!C42+'TOTAL ULS SYSTEM'!C41+'TOTAL LSU SYSTEM'!C42+'TOTAL SU SYSTEM'!C42+'TOTAL LCTCS'!C41</f>
        <v>885917071.3556</v>
      </c>
      <c r="D42" s="138">
        <f>LUMCON!D40+BOR!D42+'TOTAL ULS SYSTEM'!D41+'TOTAL LSU SYSTEM'!D42+'TOTAL SU SYSTEM'!D42+'TOTAL LCTCS'!D41+3</f>
        <v>967162068.4394155</v>
      </c>
      <c r="E42" s="138">
        <f>LUMCON!E40+BOR!E42+'TOTAL ULS SYSTEM'!E41+'TOTAL LSU SYSTEM'!E42+'TOTAL SU SYSTEM'!E42+'TOTAL LCTCS'!E41+3</f>
        <v>81244997.08381537</v>
      </c>
      <c r="F42" s="139">
        <f>IF(ISERROR(E42/C42),0,(E42/C42))</f>
        <v>0.09170722600423203</v>
      </c>
    </row>
    <row r="43" spans="1:6" ht="91.5">
      <c r="A43" s="77" t="s">
        <v>20</v>
      </c>
      <c r="B43" s="78">
        <f>LUMCON!B41+BOR!B43+'TOTAL ULS SYSTEM'!B42+'TOTAL LSU SYSTEM'!B43+'TOTAL SU SYSTEM'!B43+'TOTAL LCTCS'!B42</f>
        <v>181725138.09</v>
      </c>
      <c r="C43" s="78">
        <f>LUMCON!C41+BOR!C43+'TOTAL ULS SYSTEM'!C42+'TOTAL LSU SYSTEM'!C43+'TOTAL SU SYSTEM'!C43+'TOTAL LCTCS'!C42</f>
        <v>180689050</v>
      </c>
      <c r="D43" s="78">
        <f>LUMCON!D41+BOR!D43+'TOTAL ULS SYSTEM'!D42+'TOTAL LSU SYSTEM'!D43+'TOTAL SU SYSTEM'!D43+'TOTAL LCTCS'!D42</f>
        <v>196037866</v>
      </c>
      <c r="E43" s="78">
        <f>LUMCON!E41+BOR!E43+'TOTAL ULS SYSTEM'!E42+'TOTAL LSU SYSTEM'!E43+'TOTAL SU SYSTEM'!E43+'TOTAL LCTCS'!E42</f>
        <v>15348816</v>
      </c>
      <c r="F43" s="92">
        <f aca="true" t="shared" si="1" ref="F43:F55">IF(ISERROR(E43/C43),0,(E43/C43))</f>
        <v>0.08494602190890925</v>
      </c>
    </row>
    <row r="44" spans="1:6" ht="91.5">
      <c r="A44" s="80" t="s">
        <v>21</v>
      </c>
      <c r="B44" s="78">
        <f>LUMCON!B42+BOR!B44+'TOTAL ULS SYSTEM'!B43+'TOTAL LSU SYSTEM'!B44+'TOTAL SU SYSTEM'!B44+'TOTAL LCTCS'!B43</f>
        <v>62495306.19</v>
      </c>
      <c r="C44" s="78">
        <f>LUMCON!C42+BOR!C44+'TOTAL ULS SYSTEM'!C43+'TOTAL LSU SYSTEM'!C44+'TOTAL SU SYSTEM'!C44+'TOTAL LCTCS'!C43</f>
        <v>69080974</v>
      </c>
      <c r="D44" s="78">
        <f>LUMCON!D42+BOR!D44+'TOTAL ULS SYSTEM'!D43+'TOTAL LSU SYSTEM'!D44+'TOTAL SU SYSTEM'!D44+'TOTAL LCTCS'!D43</f>
        <v>74529373.42</v>
      </c>
      <c r="E44" s="78">
        <f>LUMCON!E42+BOR!E44+'TOTAL ULS SYSTEM'!E43+'TOTAL LSU SYSTEM'!E44+'TOTAL SU SYSTEM'!E44+'TOTAL LCTCS'!E43</f>
        <v>5448399.42</v>
      </c>
      <c r="F44" s="90">
        <f t="shared" si="1"/>
        <v>0.07886975392095659</v>
      </c>
    </row>
    <row r="45" spans="1:6" ht="91.5">
      <c r="A45" s="80" t="s">
        <v>49</v>
      </c>
      <c r="B45" s="78">
        <f>LUMCON!B43+BOR!B45+'TOTAL ULS SYSTEM'!B44+'TOTAL LSU SYSTEM'!B45+'TOTAL SU SYSTEM'!B45+'TOTAL LCTCS'!B44</f>
        <v>221071645.10000002</v>
      </c>
      <c r="C45" s="78">
        <f>LUMCON!C43+BOR!C45+'TOTAL ULS SYSTEM'!C44+'TOTAL LSU SYSTEM'!C45+'TOTAL SU SYSTEM'!C45+'TOTAL LCTCS'!C44</f>
        <v>232751103.8388</v>
      </c>
      <c r="D45" s="78">
        <f>LUMCON!D43+BOR!D45+'TOTAL ULS SYSTEM'!D44+'TOTAL LSU SYSTEM'!D45+'TOTAL SU SYSTEM'!D45+'TOTAL LCTCS'!D44</f>
        <v>240090257.72230768</v>
      </c>
      <c r="E45" s="78">
        <f>LUMCON!E43+BOR!E45+'TOTAL ULS SYSTEM'!E44+'TOTAL LSU SYSTEM'!E45+'TOTAL SU SYSTEM'!E45+'TOTAL LCTCS'!E44</f>
        <v>7339153.883507676</v>
      </c>
      <c r="F45" s="90">
        <f t="shared" si="1"/>
        <v>0.0315321979679661</v>
      </c>
    </row>
    <row r="46" spans="1:6" ht="91.5">
      <c r="A46" s="80" t="s">
        <v>22</v>
      </c>
      <c r="B46" s="78">
        <f>LUMCON!B44+BOR!B46+'TOTAL ULS SYSTEM'!B45+'TOTAL LSU SYSTEM'!B46+'TOTAL SU SYSTEM'!B46+'TOTAL LCTCS'!B45</f>
        <v>77338266.79100001</v>
      </c>
      <c r="C46" s="78">
        <f>LUMCON!C44+BOR!C46+'TOTAL ULS SYSTEM'!C45+'TOTAL LSU SYSTEM'!C46+'TOTAL SU SYSTEM'!C46+'TOTAL LCTCS'!C45</f>
        <v>81525168.436</v>
      </c>
      <c r="D46" s="78">
        <f>LUMCON!D44+BOR!D46+'TOTAL ULS SYSTEM'!D45+'TOTAL LSU SYSTEM'!D46+'TOTAL SU SYSTEM'!D46+'TOTAL LCTCS'!D45</f>
        <v>90221430.19999999</v>
      </c>
      <c r="E46" s="78">
        <f>LUMCON!E44+BOR!E46+'TOTAL ULS SYSTEM'!E45+'TOTAL LSU SYSTEM'!E46+'TOTAL SU SYSTEM'!E46+'TOTAL LCTCS'!E45</f>
        <v>8696261.763999997</v>
      </c>
      <c r="F46" s="90">
        <f t="shared" si="1"/>
        <v>0.10666965712345451</v>
      </c>
    </row>
    <row r="47" spans="1:6" ht="91.5">
      <c r="A47" s="80" t="s">
        <v>23</v>
      </c>
      <c r="B47" s="78">
        <f>LUMCON!B45+BOR!B47+'TOTAL ULS SYSTEM'!B46+'TOTAL LSU SYSTEM'!B47+'TOTAL SU SYSTEM'!B47+'TOTAL LCTCS'!B46</f>
        <v>431584829.31</v>
      </c>
      <c r="C47" s="78">
        <f>LUMCON!C45+BOR!C47+'TOTAL ULS SYSTEM'!C46+'TOTAL LSU SYSTEM'!C47+'TOTAL SU SYSTEM'!C47+'TOTAL LCTCS'!C46</f>
        <v>472626356.87520003</v>
      </c>
      <c r="D47" s="78">
        <f>LUMCON!D45+BOR!D47+'TOTAL ULS SYSTEM'!D46+'TOTAL LSU SYSTEM'!D47+'TOTAL SU SYSTEM'!D47+'TOTAL LCTCS'!D46</f>
        <v>446299854.18106997</v>
      </c>
      <c r="E47" s="78">
        <f>LUMCON!E45+BOR!E47+'TOTAL ULS SYSTEM'!E46+'TOTAL LSU SYSTEM'!E47+'TOTAL SU SYSTEM'!E47+'TOTAL LCTCS'!E46</f>
        <v>-26326502.694129996</v>
      </c>
      <c r="F47" s="90">
        <f t="shared" si="1"/>
        <v>-0.05570256992900139</v>
      </c>
    </row>
    <row r="48" spans="1:6" ht="91.5">
      <c r="A48" s="80" t="s">
        <v>24</v>
      </c>
      <c r="B48" s="78">
        <f>LUMCON!B46+BOR!B48+'TOTAL ULS SYSTEM'!B47+'TOTAL LSU SYSTEM'!B48+'TOTAL SU SYSTEM'!B48+'TOTAL LCTCS'!B47</f>
        <v>80584713.39999999</v>
      </c>
      <c r="C48" s="78">
        <f>LUMCON!C46+BOR!C48+'TOTAL ULS SYSTEM'!C47+'TOTAL LSU SYSTEM'!C48+'TOTAL SU SYSTEM'!C48+'TOTAL LCTCS'!C47</f>
        <v>88251330.89</v>
      </c>
      <c r="D48" s="78">
        <f>LUMCON!D46+BOR!D48+'TOTAL ULS SYSTEM'!D47+'TOTAL LSU SYSTEM'!D48+'TOTAL SU SYSTEM'!D48+'TOTAL LCTCS'!D47</f>
        <v>92168622</v>
      </c>
      <c r="E48" s="78">
        <f>LUMCON!E46+BOR!E48+'TOTAL ULS SYSTEM'!E47+'TOTAL LSU SYSTEM'!E48+'TOTAL SU SYSTEM'!E48+'TOTAL LCTCS'!E47</f>
        <v>3917291.11</v>
      </c>
      <c r="F48" s="90">
        <f t="shared" si="1"/>
        <v>0.044387898408950556</v>
      </c>
    </row>
    <row r="49" spans="1:6" ht="91.5">
      <c r="A49" s="80" t="s">
        <v>25</v>
      </c>
      <c r="B49" s="78">
        <f>LUMCON!B47+BOR!B49+'TOTAL ULS SYSTEM'!B48+'TOTAL LSU SYSTEM'!B49+'TOTAL SU SYSTEM'!B49+'TOTAL LCTCS'!B48</f>
        <v>236639336.75</v>
      </c>
      <c r="C49" s="78">
        <f>LUMCON!C47+BOR!C49+'TOTAL ULS SYSTEM'!C48+'TOTAL LSU SYSTEM'!C49+'TOTAL SU SYSTEM'!C49+'TOTAL LCTCS'!C48</f>
        <v>232134055.2444</v>
      </c>
      <c r="D49" s="78">
        <f>LUMCON!D47+BOR!D49+'TOTAL ULS SYSTEM'!D48+'TOTAL LSU SYSTEM'!D49+'TOTAL SU SYSTEM'!D49+'TOTAL LCTCS'!D48</f>
        <v>251469789.97676924</v>
      </c>
      <c r="E49" s="78">
        <f>LUMCON!E47+BOR!E49+'TOTAL ULS SYSTEM'!E48+'TOTAL LSU SYSTEM'!E49+'TOTAL SU SYSTEM'!E49+'TOTAL LCTCS'!E48</f>
        <v>19335734.73236924</v>
      </c>
      <c r="F49" s="90">
        <f t="shared" si="1"/>
        <v>0.08329555399362583</v>
      </c>
    </row>
    <row r="50" spans="1:6" s="50" customFormat="1" ht="90">
      <c r="A50" s="76" t="s">
        <v>26</v>
      </c>
      <c r="B50" s="74">
        <f>SUM(B42:B49)</f>
        <v>2100343809.0939999</v>
      </c>
      <c r="C50" s="74">
        <f>SUM(C42:C49)</f>
        <v>2242975110.64</v>
      </c>
      <c r="D50" s="74">
        <f>SUM(D42:D49)</f>
        <v>2357979261.939563</v>
      </c>
      <c r="E50" s="74">
        <f>SUM(E42:E49)</f>
        <v>115004151.29956229</v>
      </c>
      <c r="F50" s="87">
        <f t="shared" si="1"/>
        <v>0.051273039434997364</v>
      </c>
    </row>
    <row r="51" spans="1:6" ht="91.5">
      <c r="A51" s="140" t="s">
        <v>27</v>
      </c>
      <c r="B51" s="129">
        <f>LUMCON!B49+BOR!B51+'TOTAL ULS SYSTEM'!B50+'TOTAL LSU SYSTEM'!B51+'TOTAL SU SYSTEM'!B51+'TOTAL LCTCS'!B50</f>
        <v>369497505</v>
      </c>
      <c r="C51" s="129">
        <f>LUMCON!C49+BOR!C51+'TOTAL ULS SYSTEM'!C50+'TOTAL LSU SYSTEM'!C51+'TOTAL SU SYSTEM'!C51+'TOTAL LCTCS'!C50</f>
        <v>366764506</v>
      </c>
      <c r="D51" s="129">
        <f>LUMCON!D49+BOR!D51+'TOTAL ULS SYSTEM'!D50+'TOTAL LSU SYSTEM'!D51+'TOTAL SU SYSTEM'!D51+'TOTAL LCTCS'!D50</f>
        <v>447890946</v>
      </c>
      <c r="E51" s="129">
        <f>LUMCON!E49+BOR!E51+'TOTAL ULS SYSTEM'!E50+'TOTAL LSU SYSTEM'!E51+'TOTAL SU SYSTEM'!E51+'TOTAL LCTCS'!E50</f>
        <v>81126440</v>
      </c>
      <c r="F51" s="90">
        <f t="shared" si="1"/>
        <v>0.22119490483083987</v>
      </c>
    </row>
    <row r="52" spans="1:6" ht="91.5">
      <c r="A52" s="80" t="s">
        <v>28</v>
      </c>
      <c r="B52" s="78">
        <f>LUMCON!B50+BOR!B52+'TOTAL ULS SYSTEM'!B51+'TOTAL LSU SYSTEM'!B52+'TOTAL SU SYSTEM'!B52+'TOTAL LCTCS'!B51</f>
        <v>12820648.790000001</v>
      </c>
      <c r="C52" s="78">
        <f>LUMCON!C50+BOR!C52+'TOTAL ULS SYSTEM'!C51+'TOTAL LSU SYSTEM'!C52+'TOTAL SU SYSTEM'!C52+'TOTAL LCTCS'!C51</f>
        <v>7454849.8</v>
      </c>
      <c r="D52" s="78">
        <f>LUMCON!D50+BOR!D52+'TOTAL ULS SYSTEM'!D51+'TOTAL LSU SYSTEM'!D52+'TOTAL SU SYSTEM'!D52+'TOTAL LCTCS'!D51</f>
        <v>6397548</v>
      </c>
      <c r="E52" s="78">
        <f>LUMCON!E50+BOR!E52+'TOTAL ULS SYSTEM'!E51+'TOTAL LSU SYSTEM'!E52+'TOTAL SU SYSTEM'!E52+'TOTAL LCTCS'!E51</f>
        <v>-1057301.8</v>
      </c>
      <c r="F52" s="90">
        <f t="shared" si="1"/>
        <v>-0.1418273779305386</v>
      </c>
    </row>
    <row r="53" spans="1:6" ht="91.5">
      <c r="A53" s="80" t="s">
        <v>29</v>
      </c>
      <c r="B53" s="78">
        <f>LUMCON!B51+BOR!B53+'TOTAL ULS SYSTEM'!B52+'TOTAL LSU SYSTEM'!B53+'TOTAL SU SYSTEM'!B53+'TOTAL LCTCS'!B52</f>
        <v>24664095</v>
      </c>
      <c r="C53" s="78">
        <f>LUMCON!C51+BOR!C53+'TOTAL ULS SYSTEM'!C52+'TOTAL LSU SYSTEM'!C53+'TOTAL SU SYSTEM'!C53+'TOTAL LCTCS'!C52</f>
        <v>24154639</v>
      </c>
      <c r="D53" s="78">
        <f>LUMCON!D51+BOR!D53+'TOTAL ULS SYSTEM'!D52+'TOTAL LSU SYSTEM'!D53+'TOTAL SU SYSTEM'!D53+'TOTAL LCTCS'!D52</f>
        <v>29401440</v>
      </c>
      <c r="E53" s="78">
        <f>LUMCON!E51+BOR!E53+'TOTAL ULS SYSTEM'!E52+'TOTAL LSU SYSTEM'!E53+'TOTAL SU SYSTEM'!E53+'TOTAL LCTCS'!E52</f>
        <v>5246801</v>
      </c>
      <c r="F53" s="90">
        <f t="shared" si="1"/>
        <v>0.2172171151057153</v>
      </c>
    </row>
    <row r="54" spans="1:6" ht="91.5">
      <c r="A54" s="80" t="s">
        <v>30</v>
      </c>
      <c r="B54" s="78">
        <f>LUMCON!B52+BOR!B54+'TOTAL ULS SYSTEM'!B53+'TOTAL LSU SYSTEM'!B54+'TOTAL SU SYSTEM'!B54+'TOTAL LCTCS'!B53-1</f>
        <v>48488281</v>
      </c>
      <c r="C54" s="78">
        <f>LUMCON!C52+BOR!C54+'TOTAL ULS SYSTEM'!C53+'TOTAL LSU SYSTEM'!C54+'TOTAL SU SYSTEM'!C54+'TOTAL LCTCS'!C53</f>
        <v>60291997</v>
      </c>
      <c r="D54" s="78">
        <f>LUMCON!D52+BOR!D54+'TOTAL ULS SYSTEM'!D53+'TOTAL LSU SYSTEM'!D54+'TOTAL SU SYSTEM'!D54+'TOTAL LCTCS'!D53</f>
        <v>37815371</v>
      </c>
      <c r="E54" s="78">
        <f>LUMCON!E52+BOR!E54+'TOTAL ULS SYSTEM'!E53+'TOTAL LSU SYSTEM'!E54+'TOTAL SU SYSTEM'!E54+'TOTAL LCTCS'!E53</f>
        <v>-22476626</v>
      </c>
      <c r="F54" s="90">
        <f t="shared" si="1"/>
        <v>-0.3727961772438886</v>
      </c>
    </row>
    <row r="55" spans="1:6" s="50" customFormat="1" ht="90">
      <c r="A55" s="148" t="s">
        <v>31</v>
      </c>
      <c r="B55" s="74">
        <f>B54+B53+B52+B51+B50+7</f>
        <v>2555814345.884</v>
      </c>
      <c r="C55" s="74">
        <f>C54+C53+C52+C51+C50+1</f>
        <v>2701641103.44</v>
      </c>
      <c r="D55" s="74">
        <f>D54+D53+D52+D51+D50-8</f>
        <v>2879484558.939563</v>
      </c>
      <c r="E55" s="74">
        <f>E54+E53+E52+E51+E50</f>
        <v>177843464.4995623</v>
      </c>
      <c r="F55" s="161">
        <f t="shared" si="1"/>
        <v>0.06582793853451303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f>LUMCON!B55+BOR!B57+'TOTAL ULS SYSTEM'!B56+'TOTAL LSU SYSTEM'!B57+'TOTAL SU SYSTEM'!B57+'TOTAL LCTCS'!B56</f>
        <v>1192852027.04</v>
      </c>
      <c r="C57" s="78">
        <f>LUMCON!C55+BOR!C57+'TOTAL ULS SYSTEM'!C56+'TOTAL LSU SYSTEM'!C57+'TOTAL SU SYSTEM'!C57+'TOTAL LCTCS'!C56+3</f>
        <v>1256142437.6999998</v>
      </c>
      <c r="D57" s="78">
        <f>LUMCON!D55+BOR!D57+'TOTAL ULS SYSTEM'!D56+'TOTAL LSU SYSTEM'!D57+'TOTAL SU SYSTEM'!D57+'TOTAL LCTCS'!D56+2</f>
        <v>1398637795.9355385</v>
      </c>
      <c r="E57" s="78">
        <f>LUMCON!E55+BOR!E57+'TOTAL ULS SYSTEM'!E56+'TOTAL LSU SYSTEM'!E57+'TOTAL SU SYSTEM'!E57+'TOTAL LCTCS'!E56-1</f>
        <v>142495358.23553848</v>
      </c>
      <c r="F57" s="92">
        <f aca="true" t="shared" si="2" ref="F57:F74">IF(ISERROR(E57/C57),0,(E57/C57))</f>
        <v>0.11343885371506743</v>
      </c>
    </row>
    <row r="58" spans="1:6" ht="91.5">
      <c r="A58" s="80" t="s">
        <v>34</v>
      </c>
      <c r="B58" s="78">
        <f>LUMCON!B56+BOR!B58+'TOTAL ULS SYSTEM'!B57+'TOTAL LSU SYSTEM'!B58+'TOTAL SU SYSTEM'!B58+'TOTAL LCTCS'!B57</f>
        <v>68151061.36</v>
      </c>
      <c r="C58" s="78">
        <f>LUMCON!C56+BOR!C58+'TOTAL ULS SYSTEM'!C57+'TOTAL LSU SYSTEM'!C58+'TOTAL SU SYSTEM'!C58+'TOTAL LCTCS'!C57</f>
        <v>68822001.91</v>
      </c>
      <c r="D58" s="78">
        <f>LUMCON!D56+BOR!D58+'TOTAL ULS SYSTEM'!D57+'TOTAL LSU SYSTEM'!D58+'TOTAL SU SYSTEM'!D58+'TOTAL LCTCS'!D57</f>
        <v>72714032.51</v>
      </c>
      <c r="E58" s="78">
        <f>LUMCON!E56+BOR!E58+'TOTAL ULS SYSTEM'!E57+'TOTAL LSU SYSTEM'!E58+'TOTAL SU SYSTEM'!E58+'TOTAL LCTCS'!E57</f>
        <v>3892030.6000000006</v>
      </c>
      <c r="F58" s="90">
        <f t="shared" si="2"/>
        <v>0.0565521271103054</v>
      </c>
    </row>
    <row r="59" spans="1:6" ht="91.5">
      <c r="A59" s="80" t="s">
        <v>35</v>
      </c>
      <c r="B59" s="78">
        <f>LUMCON!B57+BOR!B59+'TOTAL ULS SYSTEM'!B58+'TOTAL LSU SYSTEM'!B59+'TOTAL SU SYSTEM'!B59+'TOTAL LCTCS'!B58</f>
        <v>345786063.3529999</v>
      </c>
      <c r="C59" s="78">
        <f>LUMCON!C57+BOR!C59+'TOTAL ULS SYSTEM'!C58+'TOTAL LSU SYSTEM'!C59+'TOTAL SU SYSTEM'!C59+'TOTAL LCTCS'!C58</f>
        <v>374874820.5</v>
      </c>
      <c r="D59" s="78">
        <f>LUMCON!D57+BOR!D59+'TOTAL ULS SYSTEM'!D58+'TOTAL LSU SYSTEM'!D59+'TOTAL SU SYSTEM'!D59+'TOTAL LCTCS'!D58</f>
        <v>428271393.5549538</v>
      </c>
      <c r="E59" s="78">
        <f>LUMCON!E57+BOR!E59+'TOTAL ULS SYSTEM'!E58+'TOTAL LSU SYSTEM'!E59+'TOTAL SU SYSTEM'!E59+'TOTAL LCTCS'!E58</f>
        <v>53396573.054953836</v>
      </c>
      <c r="F59" s="90">
        <f t="shared" si="2"/>
        <v>0.14243840913010544</v>
      </c>
    </row>
    <row r="60" spans="1:6" ht="91.5">
      <c r="A60" s="93" t="s">
        <v>36</v>
      </c>
      <c r="B60" s="96">
        <f>SUM(B57:B59)</f>
        <v>1606789151.7529998</v>
      </c>
      <c r="C60" s="96">
        <f>SUM(C57:C59)</f>
        <v>1699839260.11</v>
      </c>
      <c r="D60" s="96">
        <f>SUM(D57:D59)</f>
        <v>1899623222.0004923</v>
      </c>
      <c r="E60" s="96">
        <f>SUM(E57:E59)</f>
        <v>199783961.89049232</v>
      </c>
      <c r="F60" s="97">
        <f t="shared" si="2"/>
        <v>0.11753109048532266</v>
      </c>
    </row>
    <row r="61" spans="1:6" ht="91.5">
      <c r="A61" s="80" t="s">
        <v>37</v>
      </c>
      <c r="B61" s="78">
        <f>LUMCON!B59+BOR!B61+'TOTAL ULS SYSTEM'!B60+'TOTAL LSU SYSTEM'!B61+'TOTAL SU SYSTEM'!B61+'TOTAL LCTCS'!B60</f>
        <v>15856866.66</v>
      </c>
      <c r="C61" s="78">
        <f>LUMCON!C59+BOR!C61+'TOTAL ULS SYSTEM'!C60+'TOTAL LSU SYSTEM'!C61+'TOTAL SU SYSTEM'!C61+'TOTAL LCTCS'!C60</f>
        <v>15747389.75</v>
      </c>
      <c r="D61" s="78">
        <f>LUMCON!D59+BOR!D61+'TOTAL ULS SYSTEM'!D60+'TOTAL LSU SYSTEM'!D61+'TOTAL SU SYSTEM'!D61+'TOTAL LCTCS'!D60</f>
        <v>17171385.3</v>
      </c>
      <c r="E61" s="78">
        <f>LUMCON!E59+BOR!E61+'TOTAL ULS SYSTEM'!E60+'TOTAL LSU SYSTEM'!E61+'TOTAL SU SYSTEM'!E61+'TOTAL LCTCS'!E60</f>
        <v>1423995.55</v>
      </c>
      <c r="F61" s="90">
        <f t="shared" si="2"/>
        <v>0.09042740242077263</v>
      </c>
    </row>
    <row r="62" spans="1:6" ht="91.5">
      <c r="A62" s="80" t="s">
        <v>38</v>
      </c>
      <c r="B62" s="78">
        <f>LUMCON!B60+BOR!B62+'TOTAL ULS SYSTEM'!B61+'TOTAL LSU SYSTEM'!B62+'TOTAL SU SYSTEM'!B62+'TOTAL LCTCS'!B61</f>
        <v>221904662.10000002</v>
      </c>
      <c r="C62" s="78">
        <f>LUMCON!C60+BOR!C62+'TOTAL ULS SYSTEM'!C61+'TOTAL LSU SYSTEM'!C62+'TOTAL SU SYSTEM'!C62+'TOTAL LCTCS'!C61</f>
        <v>222663974.77</v>
      </c>
      <c r="D62" s="78">
        <f>LUMCON!D60+BOR!D62+'TOTAL ULS SYSTEM'!D61+'TOTAL LSU SYSTEM'!D62+'TOTAL SU SYSTEM'!D62+'TOTAL LCTCS'!D61</f>
        <v>235966266.62906998</v>
      </c>
      <c r="E62" s="78">
        <f>LUMCON!E60+BOR!E62+'TOTAL ULS SYSTEM'!E61+'TOTAL LSU SYSTEM'!E62+'TOTAL SU SYSTEM'!E62+'TOTAL LCTCS'!E61</f>
        <v>13302291.859070001</v>
      </c>
      <c r="F62" s="90">
        <f t="shared" si="2"/>
        <v>0.05974155393934092</v>
      </c>
    </row>
    <row r="63" spans="1:6" ht="91.5">
      <c r="A63" s="80" t="s">
        <v>39</v>
      </c>
      <c r="B63" s="78">
        <f>LUMCON!B61+BOR!B63+'TOTAL ULS SYSTEM'!B62+'TOTAL LSU SYSTEM'!B63+'TOTAL SU SYSTEM'!B63+'TOTAL LCTCS'!B62</f>
        <v>146951105.17000002</v>
      </c>
      <c r="C63" s="78">
        <f>LUMCON!C61+BOR!C63+'TOTAL ULS SYSTEM'!C62+'TOTAL LSU SYSTEM'!C63+'TOTAL SU SYSTEM'!C63+'TOTAL LCTCS'!C62</f>
        <v>139112819.73</v>
      </c>
      <c r="D63" s="78">
        <f>LUMCON!D61+BOR!D63+'TOTAL ULS SYSTEM'!D62+'TOTAL LSU SYSTEM'!D63+'TOTAL SU SYSTEM'!D63+'TOTAL LCTCS'!D62</f>
        <v>153520982.35999998</v>
      </c>
      <c r="E63" s="78">
        <f>LUMCON!E61+BOR!E63+'TOTAL ULS SYSTEM'!E62+'TOTAL LSU SYSTEM'!E63+'TOTAL SU SYSTEM'!E63+'TOTAL LCTCS'!E62</f>
        <v>14408162.63</v>
      </c>
      <c r="F63" s="90">
        <f t="shared" si="2"/>
        <v>0.10357178193903613</v>
      </c>
    </row>
    <row r="64" spans="1:6" ht="91.5">
      <c r="A64" s="76" t="s">
        <v>40</v>
      </c>
      <c r="B64" s="83">
        <f>SUM(B61:B63)</f>
        <v>384712633.93000007</v>
      </c>
      <c r="C64" s="83">
        <f>SUM(C61:C63)</f>
        <v>377524184.25</v>
      </c>
      <c r="D64" s="83">
        <f>SUM(D61:D63)</f>
        <v>406658634.28907</v>
      </c>
      <c r="E64" s="83">
        <f>SUM(E61:E63)</f>
        <v>29134450.039070003</v>
      </c>
      <c r="F64" s="87">
        <f t="shared" si="2"/>
        <v>0.07717240710538666</v>
      </c>
    </row>
    <row r="65" spans="1:6" ht="91.5">
      <c r="A65" s="80" t="s">
        <v>41</v>
      </c>
      <c r="B65" s="78">
        <f>LUMCON!B63+BOR!B65+'TOTAL ULS SYSTEM'!B64+'TOTAL LSU SYSTEM'!B65+'TOTAL SU SYSTEM'!B65+'TOTAL LCTCS'!B64</f>
        <v>23158806.060000002</v>
      </c>
      <c r="C65" s="78">
        <f>LUMCON!C63+BOR!C65+'TOTAL ULS SYSTEM'!C64+'TOTAL LSU SYSTEM'!C65+'TOTAL SU SYSTEM'!C65+'TOTAL LCTCS'!C64</f>
        <v>21968941.31</v>
      </c>
      <c r="D65" s="78">
        <f>LUMCON!D63+BOR!D65+'TOTAL ULS SYSTEM'!D64+'TOTAL LSU SYSTEM'!D65+'TOTAL SU SYSTEM'!D65+'TOTAL LCTCS'!D64</f>
        <v>37380292.27</v>
      </c>
      <c r="E65" s="78">
        <f>LUMCON!E63+BOR!E65+'TOTAL ULS SYSTEM'!E64+'TOTAL LSU SYSTEM'!E65+'TOTAL SU SYSTEM'!E65+'TOTAL LCTCS'!E64</f>
        <v>15411350.96</v>
      </c>
      <c r="F65" s="90">
        <f t="shared" si="2"/>
        <v>0.7015063103193298</v>
      </c>
    </row>
    <row r="66" spans="1:6" ht="91.5">
      <c r="A66" s="80" t="s">
        <v>42</v>
      </c>
      <c r="B66" s="78">
        <f>LUMCON!B64+BOR!B66+'TOTAL ULS SYSTEM'!B65+'TOTAL LSU SYSTEM'!B66+'TOTAL SU SYSTEM'!B66+'TOTAL LCTCS'!B65</f>
        <v>382545246.52000004</v>
      </c>
      <c r="C66" s="78">
        <f>LUMCON!C64+BOR!C66+'TOTAL ULS SYSTEM'!C65+'TOTAL LSU SYSTEM'!C66+'TOTAL SU SYSTEM'!C66+'TOTAL LCTCS'!C65</f>
        <v>438096345.66</v>
      </c>
      <c r="D66" s="78">
        <f>LUMCON!D64+BOR!D66+'TOTAL ULS SYSTEM'!D65+'TOTAL LSU SYSTEM'!D66+'TOTAL SU SYSTEM'!D66+'TOTAL LCTCS'!D65</f>
        <v>373131587.53999996</v>
      </c>
      <c r="E66" s="78">
        <f>LUMCON!E64+BOR!E66+'TOTAL ULS SYSTEM'!E65+'TOTAL LSU SYSTEM'!E66+'TOTAL SU SYSTEM'!E66+'TOTAL LCTCS'!E65</f>
        <v>-64964758.120000005</v>
      </c>
      <c r="F66" s="90">
        <f t="shared" si="2"/>
        <v>-0.1482887469013909</v>
      </c>
    </row>
    <row r="67" spans="1:6" ht="91.5">
      <c r="A67" s="80" t="s">
        <v>43</v>
      </c>
      <c r="B67" s="78">
        <f>LUMCON!B65+BOR!B67+'TOTAL ULS SYSTEM'!B66+'TOTAL LSU SYSTEM'!B67+'TOTAL SU SYSTEM'!B67+'TOTAL LCTCS'!B66</f>
        <v>398335</v>
      </c>
      <c r="C67" s="78">
        <f>LUMCON!C65+BOR!C67+'TOTAL ULS SYSTEM'!C66+'TOTAL LSU SYSTEM'!C67+'TOTAL SU SYSTEM'!C67+'TOTAL LCTCS'!C66</f>
        <v>386515</v>
      </c>
      <c r="D67" s="78">
        <f>LUMCON!D65+BOR!D67+'TOTAL ULS SYSTEM'!D66+'TOTAL LSU SYSTEM'!D67+'TOTAL SU SYSTEM'!D67+'TOTAL LCTCS'!D66</f>
        <v>260733</v>
      </c>
      <c r="E67" s="78">
        <f>LUMCON!E65+BOR!E67+'TOTAL ULS SYSTEM'!E66+'TOTAL LSU SYSTEM'!E67+'TOTAL SU SYSTEM'!E67+'TOTAL LCTCS'!E66</f>
        <v>-125782</v>
      </c>
      <c r="F67" s="90">
        <f t="shared" si="2"/>
        <v>-0.3254259213743322</v>
      </c>
    </row>
    <row r="68" spans="1:6" ht="91.5">
      <c r="A68" s="80" t="s">
        <v>44</v>
      </c>
      <c r="B68" s="78">
        <f>LUMCON!B66+BOR!B68+'TOTAL ULS SYSTEM'!B67+'TOTAL LSU SYSTEM'!B68+'TOTAL SU SYSTEM'!B68+'TOTAL LCTCS'!B67</f>
        <v>87622839.16</v>
      </c>
      <c r="C68" s="78">
        <f>LUMCON!C66+BOR!C68+'TOTAL ULS SYSTEM'!C67+'TOTAL LSU SYSTEM'!C68+'TOTAL SU SYSTEM'!C68+'TOTAL LCTCS'!C67</f>
        <v>95473676.41</v>
      </c>
      <c r="D68" s="78">
        <f>LUMCON!D66+BOR!D68+'TOTAL ULS SYSTEM'!D67+'TOTAL LSU SYSTEM'!D68+'TOTAL SU SYSTEM'!D68+'TOTAL LCTCS'!D67</f>
        <v>81204809.03999999</v>
      </c>
      <c r="E68" s="78">
        <f>LUMCON!E66+BOR!E68+'TOTAL ULS SYSTEM'!E67+'TOTAL LSU SYSTEM'!E68+'TOTAL SU SYSTEM'!E68+'TOTAL LCTCS'!E67</f>
        <v>-14268867.37</v>
      </c>
      <c r="F68" s="90">
        <f t="shared" si="2"/>
        <v>-0.14945341906311535</v>
      </c>
    </row>
    <row r="69" spans="1:6" ht="91.5">
      <c r="A69" s="76" t="s">
        <v>45</v>
      </c>
      <c r="B69" s="85">
        <f>SUM(B65:B68)</f>
        <v>493725226.74</v>
      </c>
      <c r="C69" s="85">
        <f>SUM(C65:C68)</f>
        <v>555925478.38</v>
      </c>
      <c r="D69" s="85">
        <f>SUM(D65:D68)</f>
        <v>491977421.8499999</v>
      </c>
      <c r="E69" s="85">
        <f>SUM(E65:E68)</f>
        <v>-63948056.53</v>
      </c>
      <c r="F69" s="87">
        <f t="shared" si="2"/>
        <v>-0.11502990781488996</v>
      </c>
    </row>
    <row r="70" spans="1:6" ht="91.5">
      <c r="A70" s="80" t="s">
        <v>57</v>
      </c>
      <c r="B70" s="78">
        <f>LUMCON!B68+BOR!B70+'TOTAL ULS SYSTEM'!B69+'TOTAL LSU SYSTEM'!B70+'TOTAL SU SYSTEM'!B70+'TOTAL LCTCS'!B69</f>
        <v>49314972.901</v>
      </c>
      <c r="C70" s="78">
        <f>LUMCON!C68+BOR!C70+'TOTAL ULS SYSTEM'!C69+'TOTAL LSU SYSTEM'!C70+'TOTAL SU SYSTEM'!C70+'TOTAL LCTCS'!C69</f>
        <v>44140020.24</v>
      </c>
      <c r="D70" s="78">
        <f>LUMCON!D68+BOR!D70+'TOTAL ULS SYSTEM'!D69+'TOTAL LSU SYSTEM'!D70+'TOTAL SU SYSTEM'!D70+'TOTAL LCTCS'!D69</f>
        <v>50426123.8</v>
      </c>
      <c r="E70" s="78">
        <f>LUMCON!E68+BOR!E70+'TOTAL ULS SYSTEM'!E69+'TOTAL LSU SYSTEM'!E70+'TOTAL SU SYSTEM'!E70+'TOTAL LCTCS'!E69</f>
        <v>6286103.559999999</v>
      </c>
      <c r="F70" s="90">
        <f t="shared" si="2"/>
        <v>0.14241279287641756</v>
      </c>
    </row>
    <row r="71" spans="1:6" ht="91.5">
      <c r="A71" s="80" t="s">
        <v>46</v>
      </c>
      <c r="B71" s="78">
        <f>LUMCON!B69+BOR!B71+'TOTAL ULS SYSTEM'!B70+'TOTAL LSU SYSTEM'!B71+'TOTAL SU SYSTEM'!B71+'TOTAL LCTCS'!B70</f>
        <v>16091069.989999998</v>
      </c>
      <c r="C71" s="78">
        <f>LUMCON!C69+BOR!C71+'TOTAL ULS SYSTEM'!C70+'TOTAL LSU SYSTEM'!C71+'TOTAL SU SYSTEM'!C71+'TOTAL LCTCS'!C70</f>
        <v>18722663</v>
      </c>
      <c r="D71" s="78">
        <f>LUMCON!D69+BOR!D71+'TOTAL ULS SYSTEM'!D70+'TOTAL LSU SYSTEM'!D71+'TOTAL SU SYSTEM'!D71+'TOTAL LCTCS'!D70</f>
        <v>19789613</v>
      </c>
      <c r="E71" s="78">
        <f>LUMCON!E69+BOR!E71+'TOTAL ULS SYSTEM'!E70+'TOTAL LSU SYSTEM'!E71+'TOTAL SU SYSTEM'!E71+'TOTAL LCTCS'!E70</f>
        <v>1066950</v>
      </c>
      <c r="F71" s="90">
        <f t="shared" si="2"/>
        <v>0.056987085651223866</v>
      </c>
    </row>
    <row r="72" spans="1:6" ht="91.5">
      <c r="A72" s="98" t="s">
        <v>47</v>
      </c>
      <c r="B72" s="78">
        <f>LUMCON!B70+BOR!B72+'TOTAL ULS SYSTEM'!B71+'TOTAL LSU SYSTEM'!B72+'TOTAL SU SYSTEM'!B72+'TOTAL LCTCS'!B71</f>
        <v>5181286.46</v>
      </c>
      <c r="C72" s="78">
        <f>LUMCON!C70+BOR!C72+'TOTAL ULS SYSTEM'!C71+'TOTAL LSU SYSTEM'!C72+'TOTAL SU SYSTEM'!C72+'TOTAL LCTCS'!C71</f>
        <v>5489500</v>
      </c>
      <c r="D72" s="78">
        <f>LUMCON!D70+BOR!D72+'TOTAL ULS SYSTEM'!D71+'TOTAL LSU SYSTEM'!D72+'TOTAL SU SYSTEM'!D72+'TOTAL LCTCS'!D71</f>
        <v>11009549</v>
      </c>
      <c r="E72" s="78">
        <f>LUMCON!E70+BOR!E72+'TOTAL ULS SYSTEM'!E71+'TOTAL LSU SYSTEM'!E72+'TOTAL SU SYSTEM'!E72+'TOTAL LCTCS'!E71</f>
        <v>5520049</v>
      </c>
      <c r="F72" s="90">
        <f t="shared" si="2"/>
        <v>1.0055649877037982</v>
      </c>
    </row>
    <row r="73" spans="1:6" ht="91.5">
      <c r="A73" s="99" t="s">
        <v>48</v>
      </c>
      <c r="B73" s="85">
        <f>SUM(B70:B72)</f>
        <v>70587329.351</v>
      </c>
      <c r="C73" s="85">
        <f>SUM(C70:C72)</f>
        <v>68352183.24000001</v>
      </c>
      <c r="D73" s="85">
        <f>SUM(D70:D72)</f>
        <v>81225285.8</v>
      </c>
      <c r="E73" s="85">
        <f>SUM(E70:E72)</f>
        <v>12873102.559999999</v>
      </c>
      <c r="F73" s="95">
        <f t="shared" si="2"/>
        <v>0.18833491411385672</v>
      </c>
    </row>
    <row r="74" spans="1:6" ht="91.5">
      <c r="A74" s="94" t="s">
        <v>31</v>
      </c>
      <c r="B74" s="85">
        <f>B73+B69+B64+B60+4</f>
        <v>2555814345.7739997</v>
      </c>
      <c r="C74" s="85">
        <f>C73+C69+C64+C60-3</f>
        <v>2701641102.98</v>
      </c>
      <c r="D74" s="85">
        <f>D73+D69+D64+D60-5</f>
        <v>2879484558.9395623</v>
      </c>
      <c r="E74" s="85">
        <f>E73+E69+E64+E60</f>
        <v>177843457.95956233</v>
      </c>
      <c r="F74" s="95">
        <f t="shared" si="2"/>
        <v>0.06582793612497051</v>
      </c>
    </row>
    <row r="75" ht="91.5">
      <c r="A75" s="50" t="s">
        <v>186</v>
      </c>
    </row>
    <row r="76" ht="91.5"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/>
  <pageMargins left="0" right="0" top="0" bottom="0" header="0" footer="0"/>
  <pageSetup fitToHeight="1" fitToWidth="1" horizontalDpi="600" verticalDpi="600" orientation="portrait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B1">
      <selection activeCell="D13" sqref="D13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161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49302187</v>
      </c>
      <c r="C8" s="74">
        <v>49302187</v>
      </c>
      <c r="D8" s="74">
        <v>71698367</v>
      </c>
      <c r="E8" s="74">
        <f>D8-C8</f>
        <v>22396180</v>
      </c>
      <c r="F8" s="75">
        <f>E8/C8</f>
        <v>0.45426341837533496</v>
      </c>
    </row>
    <row r="9" spans="1:6" ht="91.5">
      <c r="A9" s="76" t="s">
        <v>60</v>
      </c>
      <c r="B9" s="74">
        <f>SUM(B10:B23)</f>
        <v>3492289</v>
      </c>
      <c r="C9" s="74">
        <f>SUM(C10:C23)</f>
        <v>3492289</v>
      </c>
      <c r="D9" s="74">
        <f>SUM(D10:D23)</f>
        <v>2343939</v>
      </c>
      <c r="E9" s="74">
        <f>D9-C9</f>
        <v>-1148350</v>
      </c>
      <c r="F9" s="75">
        <f>E9/C9</f>
        <v>-0.3288244472321735</v>
      </c>
    </row>
    <row r="10" spans="1:6" ht="91.5">
      <c r="A10" s="77" t="s">
        <v>138</v>
      </c>
      <c r="B10" s="78">
        <v>0</v>
      </c>
      <c r="C10" s="78">
        <v>0</v>
      </c>
      <c r="D10" s="78">
        <v>0</v>
      </c>
      <c r="E10" s="78">
        <f aca="true" t="shared" si="0" ref="E10:E28">D10-C10</f>
        <v>0</v>
      </c>
      <c r="F10" s="79">
        <v>0</v>
      </c>
    </row>
    <row r="11" spans="1:6" ht="91.5">
      <c r="A11" s="80" t="s">
        <v>62</v>
      </c>
      <c r="B11" s="78">
        <v>3492289</v>
      </c>
      <c r="C11" s="78">
        <v>3492289</v>
      </c>
      <c r="D11" s="78">
        <v>2343939</v>
      </c>
      <c r="E11" s="78">
        <f t="shared" si="0"/>
        <v>-1148350</v>
      </c>
      <c r="F11" s="79">
        <f>E11/C11</f>
        <v>-0.3288244472321735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v>0</v>
      </c>
    </row>
    <row r="14" spans="1:6" ht="91.5">
      <c r="A14" s="80" t="s">
        <v>100</v>
      </c>
      <c r="B14" s="78">
        <v>0</v>
      </c>
      <c r="C14" s="78">
        <v>0</v>
      </c>
      <c r="D14" s="78">
        <v>0</v>
      </c>
      <c r="E14" s="78">
        <f aca="true" t="shared" si="1" ref="E14:E21">D14-C14</f>
        <v>0</v>
      </c>
      <c r="F14" s="79"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v>0</v>
      </c>
    </row>
    <row r="19" spans="1:6" ht="91.5">
      <c r="A19" s="80" t="s">
        <v>96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v>0</v>
      </c>
    </row>
    <row r="20" spans="1:6" ht="91.5">
      <c r="A20" s="80" t="s">
        <v>68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v>0</v>
      </c>
    </row>
    <row r="21" spans="1:6" ht="91.5">
      <c r="A21" s="80" t="s">
        <v>69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v>1</v>
      </c>
    </row>
    <row r="22" spans="1:6" ht="91.5">
      <c r="A22" s="81" t="s">
        <v>70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v>0</v>
      </c>
    </row>
    <row r="23" spans="1:6" ht="91.5">
      <c r="A23" s="130" t="s">
        <v>71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157">
        <v>0</v>
      </c>
    </row>
    <row r="24" spans="1:6" ht="91.5">
      <c r="A24" s="158" t="s">
        <v>50</v>
      </c>
      <c r="B24" s="156">
        <v>0</v>
      </c>
      <c r="C24" s="74">
        <v>0</v>
      </c>
      <c r="D24" s="74">
        <v>0</v>
      </c>
      <c r="E24" s="74">
        <f t="shared" si="0"/>
        <v>0</v>
      </c>
      <c r="F24" s="75"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v>0</v>
      </c>
    </row>
    <row r="29" spans="1:6" s="126" customFormat="1" ht="90">
      <c r="A29" s="148" t="s">
        <v>14</v>
      </c>
      <c r="B29" s="74">
        <f>B28+B27+B25+B9+B8</f>
        <v>52794476</v>
      </c>
      <c r="C29" s="74">
        <f>C28+C27+C25+C9+C8</f>
        <v>52794476</v>
      </c>
      <c r="D29" s="74">
        <f>D28+D27+D25+D9+D8</f>
        <v>74042306</v>
      </c>
      <c r="E29" s="74">
        <f>D29-C29</f>
        <v>21247830</v>
      </c>
      <c r="F29" s="75">
        <f>E29/C29</f>
        <v>0.4024631289076531</v>
      </c>
    </row>
    <row r="30" spans="1:6" ht="91.5">
      <c r="A30" s="77"/>
      <c r="B30" s="88"/>
      <c r="C30" s="88"/>
      <c r="D30" s="88"/>
      <c r="E30" s="88"/>
      <c r="F30" s="145"/>
    </row>
    <row r="31" spans="1:6" ht="91.5">
      <c r="A31" s="131" t="s">
        <v>139</v>
      </c>
      <c r="B31" s="120">
        <v>-125732</v>
      </c>
      <c r="C31" s="120">
        <v>0</v>
      </c>
      <c r="D31" s="120">
        <v>0</v>
      </c>
      <c r="E31" s="120">
        <f>D31-C31</f>
        <v>0</v>
      </c>
      <c r="F31" s="132">
        <v>0</v>
      </c>
    </row>
    <row r="32" spans="1:6" ht="91.5">
      <c r="A32" s="133" t="s">
        <v>0</v>
      </c>
      <c r="B32" s="134"/>
      <c r="C32" s="134"/>
      <c r="D32" s="134"/>
      <c r="E32" s="134"/>
      <c r="F32" s="135"/>
    </row>
    <row r="33" spans="1:6" ht="91.5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v>0</v>
      </c>
    </row>
    <row r="34" spans="1:6" ht="91.5">
      <c r="A34" s="133" t="s">
        <v>0</v>
      </c>
      <c r="B34" s="134"/>
      <c r="C34" s="134"/>
      <c r="D34" s="134"/>
      <c r="E34" s="134"/>
      <c r="F34" s="135"/>
    </row>
    <row r="35" spans="1:6" ht="91.5">
      <c r="A35" s="128" t="s">
        <v>56</v>
      </c>
      <c r="B35" s="74">
        <f>44229346+8</f>
        <v>44229354</v>
      </c>
      <c r="C35" s="74">
        <f>45788761+430500-12</f>
        <v>46219249</v>
      </c>
      <c r="D35" s="74">
        <f>200067+46069097</f>
        <v>46269164</v>
      </c>
      <c r="E35" s="74">
        <f>D35-C35</f>
        <v>49915</v>
      </c>
      <c r="F35" s="75">
        <f>E35/C35</f>
        <v>0.00107996129491416</v>
      </c>
    </row>
    <row r="36" spans="1:6" ht="91.5">
      <c r="A36" s="76" t="s">
        <v>0</v>
      </c>
      <c r="B36" s="86"/>
      <c r="C36" s="86"/>
      <c r="D36" s="86"/>
      <c r="E36" s="86"/>
      <c r="F36" s="87"/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v>0</v>
      </c>
    </row>
    <row r="38" spans="1:6" ht="91.5">
      <c r="A38" s="133"/>
      <c r="B38" s="134"/>
      <c r="C38" s="134"/>
      <c r="D38" s="134"/>
      <c r="E38" s="134"/>
      <c r="F38" s="135"/>
    </row>
    <row r="39" spans="1:6" ht="91.5">
      <c r="A39" s="131" t="s">
        <v>17</v>
      </c>
      <c r="B39" s="120">
        <f>B37+B35+B33+B29+B31</f>
        <v>96898098</v>
      </c>
      <c r="C39" s="120">
        <f>C37+C35+C33+C29</f>
        <v>99013725</v>
      </c>
      <c r="D39" s="120">
        <f>D37+D35+D33+D29</f>
        <v>120311470</v>
      </c>
      <c r="E39" s="120">
        <f>D39-C39</f>
        <v>21297745</v>
      </c>
      <c r="F39" s="136">
        <f>E39/C39</f>
        <v>0.21509891684208426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48095865</v>
      </c>
      <c r="C41" s="138">
        <v>49308813</v>
      </c>
      <c r="D41" s="138">
        <v>58970968</v>
      </c>
      <c r="E41" s="138">
        <f aca="true" t="shared" si="2" ref="E41:E48">D41-C41</f>
        <v>9662155</v>
      </c>
      <c r="F41" s="139">
        <f>E41/C41</f>
        <v>0.19595188795155138</v>
      </c>
    </row>
    <row r="42" spans="1:6" ht="91.5">
      <c r="A42" s="77" t="s">
        <v>20</v>
      </c>
      <c r="B42" s="78">
        <v>632180</v>
      </c>
      <c r="C42" s="78">
        <v>707081</v>
      </c>
      <c r="D42" s="78">
        <v>564700</v>
      </c>
      <c r="E42" s="78">
        <f t="shared" si="2"/>
        <v>-142381</v>
      </c>
      <c r="F42" s="92">
        <f>E42/C42</f>
        <v>-0.20136448299416898</v>
      </c>
    </row>
    <row r="43" spans="1:6" ht="91.5">
      <c r="A43" s="80" t="s">
        <v>21</v>
      </c>
      <c r="B43" s="78">
        <v>1695023</v>
      </c>
      <c r="C43" s="78">
        <v>1736133</v>
      </c>
      <c r="D43" s="78">
        <v>2260106</v>
      </c>
      <c r="E43" s="78">
        <f t="shared" si="2"/>
        <v>523973</v>
      </c>
      <c r="F43" s="90">
        <f aca="true" t="shared" si="3" ref="F43:F54">E43/C43</f>
        <v>0.301804642847063</v>
      </c>
    </row>
    <row r="44" spans="1:6" ht="91.5">
      <c r="A44" s="80" t="s">
        <v>49</v>
      </c>
      <c r="B44" s="78">
        <v>9470670</v>
      </c>
      <c r="C44" s="78">
        <f>6602993+3298913</f>
        <v>9901906</v>
      </c>
      <c r="D44" s="78">
        <f>8108744+4808725</f>
        <v>12917469</v>
      </c>
      <c r="E44" s="78">
        <f t="shared" si="2"/>
        <v>3015563</v>
      </c>
      <c r="F44" s="90">
        <f t="shared" si="3"/>
        <v>0.3045436908813313</v>
      </c>
    </row>
    <row r="45" spans="1:6" ht="91.5">
      <c r="A45" s="80" t="s">
        <v>22</v>
      </c>
      <c r="B45" s="78">
        <v>5654003</v>
      </c>
      <c r="C45" s="78">
        <v>5895782</v>
      </c>
      <c r="D45" s="78">
        <v>6635375</v>
      </c>
      <c r="E45" s="78">
        <f t="shared" si="2"/>
        <v>739593</v>
      </c>
      <c r="F45" s="90">
        <f t="shared" si="3"/>
        <v>0.12544442789777505</v>
      </c>
    </row>
    <row r="46" spans="1:6" ht="91.5">
      <c r="A46" s="80" t="s">
        <v>23</v>
      </c>
      <c r="B46" s="78">
        <f>13139148+34134</f>
        <v>13173282</v>
      </c>
      <c r="C46" s="78">
        <v>13201312</v>
      </c>
      <c r="D46" s="78">
        <v>14496255</v>
      </c>
      <c r="E46" s="78">
        <f t="shared" si="2"/>
        <v>1294943</v>
      </c>
      <c r="F46" s="90">
        <f t="shared" si="3"/>
        <v>0.09809199267466749</v>
      </c>
    </row>
    <row r="47" spans="1:6" ht="91.5">
      <c r="A47" s="80" t="s">
        <v>24</v>
      </c>
      <c r="B47" s="78">
        <v>3319887</v>
      </c>
      <c r="C47" s="78">
        <v>3384571</v>
      </c>
      <c r="D47" s="78">
        <v>4825732</v>
      </c>
      <c r="E47" s="78">
        <f t="shared" si="2"/>
        <v>1441161</v>
      </c>
      <c r="F47" s="90">
        <f t="shared" si="3"/>
        <v>0.42580315200951613</v>
      </c>
    </row>
    <row r="48" spans="1:6" ht="91.5">
      <c r="A48" s="80" t="s">
        <v>25</v>
      </c>
      <c r="B48" s="78">
        <v>11995353</v>
      </c>
      <c r="C48" s="78">
        <v>12016292</v>
      </c>
      <c r="D48" s="78">
        <v>15904030</v>
      </c>
      <c r="E48" s="78">
        <f t="shared" si="2"/>
        <v>3887738</v>
      </c>
      <c r="F48" s="90">
        <f t="shared" si="3"/>
        <v>0.3235389086749889</v>
      </c>
    </row>
    <row r="49" spans="1:6" ht="91.5">
      <c r="A49" s="76" t="s">
        <v>26</v>
      </c>
      <c r="B49" s="74">
        <f>SUM(B41:B48)</f>
        <v>94036263</v>
      </c>
      <c r="C49" s="74">
        <f>SUM(C41:C48)</f>
        <v>96151890</v>
      </c>
      <c r="D49" s="74">
        <f>SUM(D41:D48)</f>
        <v>116574635</v>
      </c>
      <c r="E49" s="74">
        <f>D49-C49</f>
        <v>20422745</v>
      </c>
      <c r="F49" s="87">
        <f t="shared" si="3"/>
        <v>0.21240086908328062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v>0</v>
      </c>
      <c r="F50" s="90"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v>0</v>
      </c>
      <c r="F51" s="90">
        <v>0</v>
      </c>
    </row>
    <row r="52" spans="1:6" ht="91.5">
      <c r="A52" s="80" t="s">
        <v>29</v>
      </c>
      <c r="B52" s="78">
        <v>2861835</v>
      </c>
      <c r="C52" s="78">
        <v>2861835</v>
      </c>
      <c r="D52" s="78">
        <v>3736835</v>
      </c>
      <c r="E52" s="78">
        <f>D52-C52</f>
        <v>875000</v>
      </c>
      <c r="F52" s="90">
        <f t="shared" si="3"/>
        <v>0.30574788553498017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v>0</v>
      </c>
      <c r="F53" s="90">
        <v>0</v>
      </c>
    </row>
    <row r="54" spans="1:6" ht="91.5">
      <c r="A54" s="76" t="s">
        <v>31</v>
      </c>
      <c r="B54" s="74">
        <f>B53+B52+B51+B50+B49</f>
        <v>96898098</v>
      </c>
      <c r="C54" s="74">
        <f>C53+C52+C51+C50+C49</f>
        <v>99013725</v>
      </c>
      <c r="D54" s="74">
        <f>D53+D52+D51+D50+D49</f>
        <v>120311470</v>
      </c>
      <c r="E54" s="74">
        <f>D54-C54</f>
        <v>21297745</v>
      </c>
      <c r="F54" s="87">
        <f t="shared" si="3"/>
        <v>0.21509891684208426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v>55461510</v>
      </c>
      <c r="C56" s="138">
        <v>56294104</v>
      </c>
      <c r="D56" s="138">
        <v>63856934</v>
      </c>
      <c r="E56" s="138">
        <f>D56-C56</f>
        <v>7562830</v>
      </c>
      <c r="F56" s="139">
        <f>E56/C56</f>
        <v>0.13434497509721444</v>
      </c>
    </row>
    <row r="57" spans="1:6" ht="91.5">
      <c r="A57" s="77" t="s">
        <v>34</v>
      </c>
      <c r="B57" s="78">
        <v>995356</v>
      </c>
      <c r="C57" s="78">
        <v>1043545</v>
      </c>
      <c r="D57" s="78">
        <v>1444147</v>
      </c>
      <c r="E57" s="78">
        <f>D57-C57</f>
        <v>400602</v>
      </c>
      <c r="F57" s="92">
        <f>E57/C57</f>
        <v>0.3838856973106095</v>
      </c>
    </row>
    <row r="58" spans="1:6" ht="91.5">
      <c r="A58" s="80" t="s">
        <v>35</v>
      </c>
      <c r="B58" s="78">
        <v>16332249</v>
      </c>
      <c r="C58" s="78">
        <v>16399336</v>
      </c>
      <c r="D58" s="78">
        <v>19444688</v>
      </c>
      <c r="E58" s="78">
        <f>D58-C58</f>
        <v>3045352</v>
      </c>
      <c r="F58" s="90">
        <f>E58/C58</f>
        <v>0.18569971369572524</v>
      </c>
    </row>
    <row r="59" spans="1:6" s="126" customFormat="1" ht="90">
      <c r="A59" s="76" t="s">
        <v>36</v>
      </c>
      <c r="B59" s="74">
        <f>SUM(B56:B58)</f>
        <v>72789115</v>
      </c>
      <c r="C59" s="74">
        <f>SUM(C56:C58)</f>
        <v>73736985</v>
      </c>
      <c r="D59" s="74">
        <f>SUM(D56:D58)</f>
        <v>84745769</v>
      </c>
      <c r="E59" s="74">
        <f aca="true" t="shared" si="4" ref="E59:E73">D59-C59</f>
        <v>11008784</v>
      </c>
      <c r="F59" s="87">
        <f>E59/C59</f>
        <v>0.14929799475799016</v>
      </c>
    </row>
    <row r="60" spans="1:6" ht="91.5">
      <c r="A60" s="142" t="s">
        <v>37</v>
      </c>
      <c r="B60" s="141">
        <v>836732</v>
      </c>
      <c r="C60" s="141">
        <v>1028122</v>
      </c>
      <c r="D60" s="141">
        <v>1349788</v>
      </c>
      <c r="E60" s="141">
        <f t="shared" si="4"/>
        <v>321666</v>
      </c>
      <c r="F60" s="143">
        <f>E60/C60</f>
        <v>0.3128675390663754</v>
      </c>
    </row>
    <row r="61" spans="1:6" ht="91.5">
      <c r="A61" s="77" t="s">
        <v>38</v>
      </c>
      <c r="B61" s="78">
        <v>8818515</v>
      </c>
      <c r="C61" s="78">
        <v>9170402</v>
      </c>
      <c r="D61" s="78">
        <v>10693279</v>
      </c>
      <c r="E61" s="78">
        <f t="shared" si="4"/>
        <v>1522877</v>
      </c>
      <c r="F61" s="92">
        <f>E61/D61</f>
        <v>0.14241440815300901</v>
      </c>
    </row>
    <row r="62" spans="1:6" ht="91.5">
      <c r="A62" s="80" t="s">
        <v>39</v>
      </c>
      <c r="B62" s="78">
        <f>2081079+2846</f>
        <v>2083925</v>
      </c>
      <c r="C62" s="78">
        <f>2343166+2950</f>
        <v>2346116</v>
      </c>
      <c r="D62" s="78">
        <f>3527345+2500</f>
        <v>3529845</v>
      </c>
      <c r="E62" s="78">
        <f t="shared" si="4"/>
        <v>1183729</v>
      </c>
      <c r="F62" s="90">
        <f>E62/C62</f>
        <v>0.5045483684523698</v>
      </c>
    </row>
    <row r="63" spans="1:6" s="126" customFormat="1" ht="90">
      <c r="A63" s="76" t="s">
        <v>40</v>
      </c>
      <c r="B63" s="74">
        <f>SUM(B60:B62)</f>
        <v>11739172</v>
      </c>
      <c r="C63" s="74">
        <f>SUM(C60:C62)</f>
        <v>12544640</v>
      </c>
      <c r="D63" s="74">
        <f>SUM(D60:D62)</f>
        <v>15572912</v>
      </c>
      <c r="E63" s="74">
        <f t="shared" si="4"/>
        <v>3028272</v>
      </c>
      <c r="F63" s="87">
        <f>E63/C63</f>
        <v>0.24139967348604663</v>
      </c>
    </row>
    <row r="64" spans="1:6" ht="91.5">
      <c r="A64" s="81" t="s">
        <v>41</v>
      </c>
      <c r="B64" s="129">
        <v>1020469</v>
      </c>
      <c r="C64" s="129">
        <v>1085596</v>
      </c>
      <c r="D64" s="129">
        <v>1344308</v>
      </c>
      <c r="E64" s="129">
        <f t="shared" si="4"/>
        <v>258712</v>
      </c>
      <c r="F64" s="144">
        <f aca="true" t="shared" si="5" ref="F64:F73">E64/C64</f>
        <v>0.23831333203143712</v>
      </c>
    </row>
    <row r="65" spans="1:6" ht="91.5">
      <c r="A65" s="77" t="s">
        <v>42</v>
      </c>
      <c r="B65" s="78">
        <f>4557348+34034</f>
        <v>4591382</v>
      </c>
      <c r="C65" s="78">
        <v>4634062</v>
      </c>
      <c r="D65" s="78">
        <v>5881776</v>
      </c>
      <c r="E65" s="78">
        <f t="shared" si="4"/>
        <v>1247714</v>
      </c>
      <c r="F65" s="92">
        <f t="shared" si="5"/>
        <v>0.26924844769016903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4"/>
        <v>0</v>
      </c>
      <c r="F66" s="90">
        <v>0</v>
      </c>
    </row>
    <row r="67" spans="1:6" ht="91.5">
      <c r="A67" s="80" t="s">
        <v>44</v>
      </c>
      <c r="B67" s="78">
        <v>3903765</v>
      </c>
      <c r="C67" s="78">
        <v>3903765</v>
      </c>
      <c r="D67" s="78">
        <v>4890383</v>
      </c>
      <c r="E67" s="78">
        <f t="shared" si="4"/>
        <v>986618</v>
      </c>
      <c r="F67" s="90">
        <f t="shared" si="5"/>
        <v>0.252734987889896</v>
      </c>
    </row>
    <row r="68" spans="1:6" s="126" customFormat="1" ht="90">
      <c r="A68" s="76" t="s">
        <v>45</v>
      </c>
      <c r="B68" s="74">
        <f>SUM(B64:B67)</f>
        <v>9515616</v>
      </c>
      <c r="C68" s="74">
        <f>SUM(C64:C67)</f>
        <v>9623423</v>
      </c>
      <c r="D68" s="74">
        <f>SUM(D64:D67)</f>
        <v>12116467</v>
      </c>
      <c r="E68" s="74">
        <f t="shared" si="4"/>
        <v>2493044</v>
      </c>
      <c r="F68" s="87">
        <f t="shared" si="5"/>
        <v>0.2590600039092119</v>
      </c>
    </row>
    <row r="69" spans="1:6" ht="91.5">
      <c r="A69" s="81" t="s">
        <v>57</v>
      </c>
      <c r="B69" s="129">
        <f>2110612-B71</f>
        <v>1738173.54</v>
      </c>
      <c r="C69" s="129">
        <f>2365315-C71</f>
        <v>2057907</v>
      </c>
      <c r="D69" s="129">
        <f>6126361-D71</f>
        <v>4139197</v>
      </c>
      <c r="E69" s="129">
        <f t="shared" si="4"/>
        <v>2081290</v>
      </c>
      <c r="F69" s="144">
        <f t="shared" si="5"/>
        <v>1.0113625154100745</v>
      </c>
    </row>
    <row r="70" spans="1:6" ht="91.5">
      <c r="A70" s="77" t="s">
        <v>46</v>
      </c>
      <c r="B70" s="78">
        <v>743583</v>
      </c>
      <c r="C70" s="78">
        <v>743362</v>
      </c>
      <c r="D70" s="78">
        <v>1749961</v>
      </c>
      <c r="E70" s="78">
        <f t="shared" si="4"/>
        <v>1006599</v>
      </c>
      <c r="F70" s="92">
        <f t="shared" si="5"/>
        <v>1.3541168367497936</v>
      </c>
    </row>
    <row r="71" spans="1:6" ht="91.5">
      <c r="A71" s="80" t="s">
        <v>47</v>
      </c>
      <c r="B71" s="78">
        <v>372438.46</v>
      </c>
      <c r="C71" s="78">
        <v>307408</v>
      </c>
      <c r="D71" s="78">
        <f>569283+1352281+50600+15000</f>
        <v>1987164</v>
      </c>
      <c r="E71" s="78">
        <f t="shared" si="4"/>
        <v>1679756</v>
      </c>
      <c r="F71" s="90">
        <f t="shared" si="5"/>
        <v>5.4642559725186075</v>
      </c>
    </row>
    <row r="72" spans="1:6" s="126" customFormat="1" ht="90">
      <c r="A72" s="99" t="s">
        <v>48</v>
      </c>
      <c r="B72" s="74">
        <f>SUM(B69:B71)</f>
        <v>2854195</v>
      </c>
      <c r="C72" s="74">
        <f>SUM(C69:C71)</f>
        <v>3108677</v>
      </c>
      <c r="D72" s="74">
        <f>SUM(D69:D71)</f>
        <v>7876322</v>
      </c>
      <c r="E72" s="74">
        <f t="shared" si="4"/>
        <v>4767645</v>
      </c>
      <c r="F72" s="87">
        <f t="shared" si="5"/>
        <v>1.5336572439015053</v>
      </c>
    </row>
    <row r="73" spans="1:6" ht="92.25" thickBot="1">
      <c r="A73" s="151" t="s">
        <v>31</v>
      </c>
      <c r="B73" s="152">
        <f>B72+B68+B63+B59</f>
        <v>96898098</v>
      </c>
      <c r="C73" s="152">
        <f>C72+C68+C63+C59</f>
        <v>99013725</v>
      </c>
      <c r="D73" s="152">
        <f>D72+D68+D63+D59</f>
        <v>120311470</v>
      </c>
      <c r="E73" s="152">
        <f t="shared" si="4"/>
        <v>21297745</v>
      </c>
      <c r="F73" s="153">
        <f t="shared" si="5"/>
        <v>0.21509891684208426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B1">
      <selection activeCell="D13" sqref="D13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165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28109570</v>
      </c>
      <c r="C8" s="74">
        <v>28109570</v>
      </c>
      <c r="D8" s="74">
        <v>30511604</v>
      </c>
      <c r="E8" s="74">
        <v>2395145</v>
      </c>
      <c r="F8" s="75">
        <v>0.08518658057189918</v>
      </c>
    </row>
    <row r="9" spans="1:6" ht="91.5">
      <c r="A9" s="76" t="s">
        <v>60</v>
      </c>
      <c r="B9" s="74">
        <f>B10+B11</f>
        <v>1327393</v>
      </c>
      <c r="C9" s="74">
        <f>C10+C11</f>
        <v>1327393</v>
      </c>
      <c r="D9" s="74">
        <f>D10+D11</f>
        <v>1183123</v>
      </c>
      <c r="E9" s="74">
        <f>E10+E11</f>
        <v>-144270</v>
      </c>
      <c r="F9" s="75">
        <f>F10+F11</f>
        <v>-0.944153018533855</v>
      </c>
    </row>
    <row r="10" spans="1:6" ht="91.5">
      <c r="A10" s="77" t="s">
        <v>61</v>
      </c>
      <c r="B10" s="78">
        <v>206849</v>
      </c>
      <c r="C10" s="78">
        <v>206849</v>
      </c>
      <c r="D10" s="78">
        <v>0</v>
      </c>
      <c r="E10" s="78">
        <v>-206849</v>
      </c>
      <c r="F10" s="79">
        <v>-1</v>
      </c>
    </row>
    <row r="11" spans="1:6" ht="91.5">
      <c r="A11" s="80" t="s">
        <v>62</v>
      </c>
      <c r="B11" s="78">
        <v>1120544</v>
      </c>
      <c r="C11" s="78">
        <v>1120544</v>
      </c>
      <c r="D11" s="78">
        <v>1183123</v>
      </c>
      <c r="E11" s="78">
        <v>62579</v>
      </c>
      <c r="F11" s="79">
        <v>0.055846981466145015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v>0</v>
      </c>
      <c r="F12" s="79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v>0</v>
      </c>
      <c r="F13" s="79">
        <v>0</v>
      </c>
    </row>
    <row r="14" spans="1:6" ht="91.5">
      <c r="A14" s="80" t="s">
        <v>100</v>
      </c>
      <c r="B14" s="78">
        <v>0</v>
      </c>
      <c r="C14" s="78">
        <v>0</v>
      </c>
      <c r="D14" s="78">
        <v>0</v>
      </c>
      <c r="E14" s="78">
        <v>0</v>
      </c>
      <c r="F14" s="79"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v>0</v>
      </c>
      <c r="F15" s="79"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v>0</v>
      </c>
      <c r="F16" s="79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v>0</v>
      </c>
      <c r="F17" s="79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v>0</v>
      </c>
      <c r="F18" s="79">
        <v>0</v>
      </c>
    </row>
    <row r="19" spans="1:6" ht="91.5">
      <c r="A19" s="80" t="s">
        <v>96</v>
      </c>
      <c r="B19" s="78">
        <v>0</v>
      </c>
      <c r="C19" s="78">
        <v>0</v>
      </c>
      <c r="D19" s="78">
        <v>0</v>
      </c>
      <c r="E19" s="78">
        <f>D19-C19</f>
        <v>0</v>
      </c>
      <c r="F19" s="79">
        <v>0</v>
      </c>
    </row>
    <row r="20" spans="1:6" ht="91.5">
      <c r="A20" s="80" t="s">
        <v>68</v>
      </c>
      <c r="B20" s="78">
        <v>0</v>
      </c>
      <c r="C20" s="78">
        <v>0</v>
      </c>
      <c r="D20" s="78">
        <v>0</v>
      </c>
      <c r="E20" s="78">
        <v>0</v>
      </c>
      <c r="F20" s="79">
        <v>0</v>
      </c>
    </row>
    <row r="21" spans="1:6" ht="91.5">
      <c r="A21" s="80" t="s">
        <v>69</v>
      </c>
      <c r="B21" s="78">
        <v>0</v>
      </c>
      <c r="C21" s="78">
        <v>0</v>
      </c>
      <c r="D21" s="78">
        <v>0</v>
      </c>
      <c r="E21" s="78">
        <f>D21-C21</f>
        <v>0</v>
      </c>
      <c r="F21" s="79">
        <v>1</v>
      </c>
    </row>
    <row r="22" spans="1:6" ht="91.5">
      <c r="A22" s="81" t="s">
        <v>70</v>
      </c>
      <c r="B22" s="78">
        <v>0</v>
      </c>
      <c r="C22" s="78">
        <v>0</v>
      </c>
      <c r="D22" s="78">
        <v>0</v>
      </c>
      <c r="E22" s="78">
        <v>0</v>
      </c>
      <c r="F22" s="79">
        <v>0</v>
      </c>
    </row>
    <row r="23" spans="1:6" ht="91.5">
      <c r="A23" s="130" t="s">
        <v>71</v>
      </c>
      <c r="B23" s="129">
        <v>0</v>
      </c>
      <c r="C23" s="129">
        <v>0</v>
      </c>
      <c r="D23" s="129">
        <v>0</v>
      </c>
      <c r="E23" s="129">
        <v>0</v>
      </c>
      <c r="F23" s="157">
        <v>0</v>
      </c>
    </row>
    <row r="24" spans="1:6" ht="91.5">
      <c r="A24" s="158" t="s">
        <v>50</v>
      </c>
      <c r="B24" s="156">
        <v>0</v>
      </c>
      <c r="C24" s="74">
        <v>0</v>
      </c>
      <c r="D24" s="74">
        <v>0</v>
      </c>
      <c r="E24" s="74">
        <f>D24-C24</f>
        <v>0</v>
      </c>
      <c r="F24" s="75"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>D26-C26</f>
        <v>0</v>
      </c>
      <c r="F26" s="75"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v>0</v>
      </c>
      <c r="F28" s="79">
        <v>0</v>
      </c>
    </row>
    <row r="29" spans="1:6" s="126" customFormat="1" ht="90">
      <c r="A29" s="148" t="s">
        <v>14</v>
      </c>
      <c r="B29" s="74">
        <f>B9+B8</f>
        <v>29436963</v>
      </c>
      <c r="C29" s="74">
        <f>C9+C8</f>
        <v>29436963</v>
      </c>
      <c r="D29" s="74">
        <v>31694727</v>
      </c>
      <c r="E29" s="74">
        <v>2250875</v>
      </c>
      <c r="F29" s="75">
        <v>0.0764463494790016</v>
      </c>
    </row>
    <row r="30" spans="1:6" ht="91.5">
      <c r="A30" s="77"/>
      <c r="B30" s="88"/>
      <c r="C30" s="88"/>
      <c r="D30" s="88"/>
      <c r="E30" s="88"/>
      <c r="F30" s="145"/>
    </row>
    <row r="31" spans="1:6" ht="91.5">
      <c r="A31" s="131" t="s">
        <v>78</v>
      </c>
      <c r="B31" s="120">
        <v>-255323</v>
      </c>
      <c r="C31" s="120">
        <v>0</v>
      </c>
      <c r="D31" s="120">
        <v>0</v>
      </c>
      <c r="E31" s="120">
        <v>0</v>
      </c>
      <c r="F31" s="132">
        <v>0</v>
      </c>
    </row>
    <row r="32" spans="1:6" ht="91.5">
      <c r="A32" s="133" t="s">
        <v>0</v>
      </c>
      <c r="B32" s="134"/>
      <c r="C32" s="134"/>
      <c r="D32" s="134"/>
      <c r="E32" s="134"/>
      <c r="F32" s="135"/>
    </row>
    <row r="33" spans="1:6" ht="91.5">
      <c r="A33" s="131" t="s">
        <v>15</v>
      </c>
      <c r="B33" s="120">
        <v>0</v>
      </c>
      <c r="C33" s="120">
        <v>0</v>
      </c>
      <c r="D33" s="120">
        <v>0</v>
      </c>
      <c r="E33" s="120">
        <v>0</v>
      </c>
      <c r="F33" s="136">
        <v>0</v>
      </c>
    </row>
    <row r="34" spans="1:6" ht="91.5">
      <c r="A34" s="133" t="s">
        <v>0</v>
      </c>
      <c r="B34" s="134"/>
      <c r="C34" s="134"/>
      <c r="D34" s="134"/>
      <c r="E34" s="134"/>
      <c r="F34" s="135"/>
    </row>
    <row r="35" spans="1:6" ht="91.5">
      <c r="A35" s="128" t="s">
        <v>56</v>
      </c>
      <c r="B35" s="74">
        <v>24269870</v>
      </c>
      <c r="C35" s="74">
        <v>24585849</v>
      </c>
      <c r="D35" s="74">
        <v>24586861</v>
      </c>
      <c r="E35" s="74">
        <v>-4856</v>
      </c>
      <c r="F35" s="75">
        <v>-0.00019746486184758877</v>
      </c>
    </row>
    <row r="36" spans="1:6" ht="91.5">
      <c r="A36" s="76" t="s">
        <v>0</v>
      </c>
      <c r="B36" s="86"/>
      <c r="C36" s="86"/>
      <c r="D36" s="86"/>
      <c r="E36" s="86"/>
      <c r="F36" s="87"/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v>0</v>
      </c>
      <c r="F37" s="136">
        <v>0</v>
      </c>
    </row>
    <row r="38" spans="1:6" ht="91.5">
      <c r="A38" s="133"/>
      <c r="B38" s="134"/>
      <c r="C38" s="134"/>
      <c r="D38" s="134"/>
      <c r="E38" s="134"/>
      <c r="F38" s="135"/>
    </row>
    <row r="39" spans="1:6" ht="91.5">
      <c r="A39" s="131" t="s">
        <v>17</v>
      </c>
      <c r="B39" s="120">
        <f>B35+B31+B29</f>
        <v>53451510</v>
      </c>
      <c r="C39" s="120">
        <f>C35+C29</f>
        <v>54022812</v>
      </c>
      <c r="D39" s="120">
        <v>56281588</v>
      </c>
      <c r="E39" s="120">
        <v>2246019</v>
      </c>
      <c r="F39" s="136">
        <v>0.041565565822023635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22364193</v>
      </c>
      <c r="C41" s="138">
        <v>23770738.2656</v>
      </c>
      <c r="D41" s="138">
        <v>24277650.75</v>
      </c>
      <c r="E41" s="138">
        <v>506912.4844000004</v>
      </c>
      <c r="F41" s="139">
        <v>0.021325062719384807</v>
      </c>
    </row>
    <row r="42" spans="1:6" ht="91.5">
      <c r="A42" s="77" t="s">
        <v>20</v>
      </c>
      <c r="B42" s="78">
        <v>70222.87</v>
      </c>
      <c r="C42" s="78">
        <v>144903</v>
      </c>
      <c r="D42" s="78">
        <v>142682</v>
      </c>
      <c r="E42" s="78">
        <v>-2221</v>
      </c>
      <c r="F42" s="92">
        <v>-0.01532749494489417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v>0</v>
      </c>
      <c r="F43" s="90">
        <v>0</v>
      </c>
    </row>
    <row r="44" spans="1:6" ht="91.5">
      <c r="A44" s="80" t="s">
        <v>49</v>
      </c>
      <c r="B44" s="78">
        <v>6342560</v>
      </c>
      <c r="C44" s="78">
        <v>6095359.8288</v>
      </c>
      <c r="D44" s="78">
        <v>6665897.25</v>
      </c>
      <c r="E44" s="78">
        <v>570537.4211999997</v>
      </c>
      <c r="F44" s="90">
        <v>0.09360192625614394</v>
      </c>
    </row>
    <row r="45" spans="1:6" ht="91.5">
      <c r="A45" s="80" t="s">
        <v>22</v>
      </c>
      <c r="B45" s="78">
        <v>3155584.89</v>
      </c>
      <c r="C45" s="78">
        <v>3227326.816</v>
      </c>
      <c r="D45" s="78">
        <v>3186250.75</v>
      </c>
      <c r="E45" s="78">
        <v>-41076.06600000011</v>
      </c>
      <c r="F45" s="90">
        <v>-0.012727581785754947</v>
      </c>
    </row>
    <row r="46" spans="1:6" ht="91.5">
      <c r="A46" s="80" t="s">
        <v>23</v>
      </c>
      <c r="B46" s="78">
        <v>6723397</v>
      </c>
      <c r="C46" s="78">
        <v>5725721.8252</v>
      </c>
      <c r="D46" s="78">
        <v>8146825.5</v>
      </c>
      <c r="E46" s="78">
        <v>2421103.6748</v>
      </c>
      <c r="F46" s="90">
        <v>0.4228468913987855</v>
      </c>
    </row>
    <row r="47" spans="1:6" ht="91.5">
      <c r="A47" s="80" t="s">
        <v>24</v>
      </c>
      <c r="B47" s="78">
        <v>4932065</v>
      </c>
      <c r="C47" s="78">
        <v>4799162</v>
      </c>
      <c r="D47" s="78">
        <v>4799162</v>
      </c>
      <c r="E47" s="78">
        <v>0</v>
      </c>
      <c r="F47" s="90">
        <v>0</v>
      </c>
    </row>
    <row r="48" spans="1:6" ht="91.5">
      <c r="A48" s="80" t="s">
        <v>25</v>
      </c>
      <c r="B48" s="78">
        <v>7346538</v>
      </c>
      <c r="C48" s="78">
        <f>6532898.4244-12757</f>
        <v>6520141.4244</v>
      </c>
      <c r="D48" s="78">
        <v>6259454</v>
      </c>
      <c r="E48" s="78">
        <v>-273444.4243999999</v>
      </c>
      <c r="F48" s="90">
        <v>-0.041856524720895814</v>
      </c>
    </row>
    <row r="49" spans="1:6" ht="91.5">
      <c r="A49" s="76" t="s">
        <v>26</v>
      </c>
      <c r="B49" s="74">
        <f>SUM(B41:B48)</f>
        <v>50934560.760000005</v>
      </c>
      <c r="C49" s="74">
        <f>SUM(C41:C48)</f>
        <v>50283353.160000004</v>
      </c>
      <c r="D49" s="74">
        <v>53477922.25</v>
      </c>
      <c r="E49" s="74">
        <v>3181812.09</v>
      </c>
      <c r="F49" s="87">
        <v>0.0632615937868384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v>0</v>
      </c>
      <c r="F50" s="90"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v>0</v>
      </c>
      <c r="F51" s="90">
        <v>0</v>
      </c>
    </row>
    <row r="52" spans="1:6" ht="91.5">
      <c r="A52" s="80" t="s">
        <v>29</v>
      </c>
      <c r="B52" s="78">
        <v>2484846</v>
      </c>
      <c r="C52" s="78">
        <v>2736835</v>
      </c>
      <c r="D52" s="78">
        <v>2970501</v>
      </c>
      <c r="E52" s="78">
        <v>233666</v>
      </c>
      <c r="F52" s="90">
        <v>0.08537818319336021</v>
      </c>
    </row>
    <row r="53" spans="1:6" ht="91.5">
      <c r="A53" s="80" t="s">
        <v>30</v>
      </c>
      <c r="B53" s="78">
        <v>32104</v>
      </c>
      <c r="C53" s="78">
        <v>1002624</v>
      </c>
      <c r="D53" s="78">
        <v>-166835</v>
      </c>
      <c r="E53" s="78">
        <v>-1169459</v>
      </c>
      <c r="F53" s="90">
        <v>-1.1663983706753478</v>
      </c>
    </row>
    <row r="54" spans="1:6" ht="91.5">
      <c r="A54" s="76" t="s">
        <v>31</v>
      </c>
      <c r="B54" s="74">
        <f>B53+B52+B49-1</f>
        <v>53451509.760000005</v>
      </c>
      <c r="C54" s="74">
        <f>C53+C52+C51+C50+C49</f>
        <v>54022812.160000004</v>
      </c>
      <c r="D54" s="74">
        <v>56281588.25</v>
      </c>
      <c r="E54" s="74">
        <v>2246019.09</v>
      </c>
      <c r="F54" s="87">
        <v>0.04156556736451698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v>29154030</v>
      </c>
      <c r="C56" s="138">
        <f>30108030.2-12757</f>
        <v>30095273.2</v>
      </c>
      <c r="D56" s="138">
        <v>31847389</v>
      </c>
      <c r="E56" s="138">
        <v>1739358.8</v>
      </c>
      <c r="F56" s="139">
        <v>0.057770594371198844</v>
      </c>
    </row>
    <row r="57" spans="1:6" ht="91.5">
      <c r="A57" s="77" t="s">
        <v>34</v>
      </c>
      <c r="B57" s="78">
        <v>453029.36</v>
      </c>
      <c r="C57" s="78">
        <v>386000</v>
      </c>
      <c r="D57" s="78">
        <v>386000</v>
      </c>
      <c r="E57" s="78">
        <v>0</v>
      </c>
      <c r="F57" s="92">
        <v>0</v>
      </c>
    </row>
    <row r="58" spans="1:6" ht="91.5">
      <c r="A58" s="80" t="s">
        <v>35</v>
      </c>
      <c r="B58" s="78">
        <v>8704104</v>
      </c>
      <c r="C58" s="78">
        <v>9181716.960000003</v>
      </c>
      <c r="D58" s="78">
        <v>10129540.25</v>
      </c>
      <c r="E58" s="78">
        <v>947823.2899999972</v>
      </c>
      <c r="F58" s="90">
        <v>0.10322941712635814</v>
      </c>
    </row>
    <row r="59" spans="1:6" s="126" customFormat="1" ht="90">
      <c r="A59" s="76" t="s">
        <v>36</v>
      </c>
      <c r="B59" s="74">
        <f>SUM(B56:B58)</f>
        <v>38311163.36</v>
      </c>
      <c r="C59" s="74">
        <f>SUM(C56:C58)</f>
        <v>39662990.160000004</v>
      </c>
      <c r="D59" s="74">
        <v>42362929.25</v>
      </c>
      <c r="E59" s="74">
        <v>2687182.09</v>
      </c>
      <c r="F59" s="87">
        <v>0.06772858187555815</v>
      </c>
    </row>
    <row r="60" spans="1:6" ht="91.5">
      <c r="A60" s="142" t="s">
        <v>37</v>
      </c>
      <c r="B60" s="141">
        <v>509667</v>
      </c>
      <c r="C60" s="141">
        <v>269470</v>
      </c>
      <c r="D60" s="141">
        <v>269470</v>
      </c>
      <c r="E60" s="141">
        <v>0</v>
      </c>
      <c r="F60" s="143">
        <v>0</v>
      </c>
    </row>
    <row r="61" spans="1:6" ht="91.5">
      <c r="A61" s="77" t="s">
        <v>38</v>
      </c>
      <c r="B61" s="78">
        <v>4914404</v>
      </c>
      <c r="C61" s="78">
        <v>4267470</v>
      </c>
      <c r="D61" s="78">
        <v>4400521</v>
      </c>
      <c r="E61" s="78">
        <v>133051</v>
      </c>
      <c r="F61" s="92">
        <v>0.03023528350393056</v>
      </c>
    </row>
    <row r="62" spans="1:6" ht="91.5">
      <c r="A62" s="80" t="s">
        <v>39</v>
      </c>
      <c r="B62" s="78">
        <v>804072</v>
      </c>
      <c r="C62" s="78">
        <v>532841</v>
      </c>
      <c r="D62" s="78">
        <v>634856</v>
      </c>
      <c r="E62" s="78">
        <v>102015</v>
      </c>
      <c r="F62" s="90">
        <v>0.19145486176927076</v>
      </c>
    </row>
    <row r="63" spans="1:6" s="126" customFormat="1" ht="90">
      <c r="A63" s="76" t="s">
        <v>40</v>
      </c>
      <c r="B63" s="74">
        <f>SUM(B60:B62)</f>
        <v>6228143</v>
      </c>
      <c r="C63" s="74">
        <f>SUM(C60:C62)</f>
        <v>5069781</v>
      </c>
      <c r="D63" s="74">
        <v>5304847</v>
      </c>
      <c r="E63" s="74">
        <v>235066</v>
      </c>
      <c r="F63" s="87">
        <v>-0.04636610536036961</v>
      </c>
    </row>
    <row r="64" spans="1:6" ht="91.5">
      <c r="A64" s="81" t="s">
        <v>41</v>
      </c>
      <c r="B64" s="129">
        <v>533299</v>
      </c>
      <c r="C64" s="129">
        <v>844631</v>
      </c>
      <c r="D64" s="129">
        <v>618881</v>
      </c>
      <c r="E64" s="129">
        <v>-225750</v>
      </c>
      <c r="F64" s="144">
        <v>-0.2672764793146356</v>
      </c>
    </row>
    <row r="65" spans="1:6" ht="91.5">
      <c r="A65" s="77" t="s">
        <v>42</v>
      </c>
      <c r="B65" s="78">
        <v>5333248</v>
      </c>
      <c r="C65" s="78">
        <v>4819162</v>
      </c>
      <c r="D65" s="78">
        <v>4889162</v>
      </c>
      <c r="E65" s="78">
        <v>70000</v>
      </c>
      <c r="F65" s="92">
        <v>0.014525346937911613</v>
      </c>
    </row>
    <row r="66" spans="1:6" ht="91.5">
      <c r="A66" s="80" t="s">
        <v>43</v>
      </c>
      <c r="B66" s="78"/>
      <c r="C66" s="78"/>
      <c r="D66" s="78"/>
      <c r="E66" s="78"/>
      <c r="F66" s="90"/>
    </row>
    <row r="67" spans="1:6" ht="91.5">
      <c r="A67" s="80" t="s">
        <v>44</v>
      </c>
      <c r="B67" s="78">
        <v>2484846</v>
      </c>
      <c r="C67" s="78">
        <v>3032954</v>
      </c>
      <c r="D67" s="78">
        <v>2097161</v>
      </c>
      <c r="E67" s="78">
        <v>-935793</v>
      </c>
      <c r="F67" s="90">
        <v>-0.3085417714874673</v>
      </c>
    </row>
    <row r="68" spans="1:6" s="126" customFormat="1" ht="90">
      <c r="A68" s="76" t="s">
        <v>45</v>
      </c>
      <c r="B68" s="74">
        <f>SUM(B64:B67)</f>
        <v>8351393</v>
      </c>
      <c r="C68" s="74">
        <f>SUM(C64:C67)</f>
        <v>8696747</v>
      </c>
      <c r="D68" s="74">
        <v>7605204</v>
      </c>
      <c r="E68" s="74">
        <v>-1091543</v>
      </c>
      <c r="F68" s="87">
        <v>-0.1255116424566565</v>
      </c>
    </row>
    <row r="69" spans="1:6" ht="91.5">
      <c r="A69" s="81" t="s">
        <v>57</v>
      </c>
      <c r="B69" s="129">
        <v>560811.48</v>
      </c>
      <c r="C69" s="129">
        <v>114147</v>
      </c>
      <c r="D69" s="129">
        <v>608608</v>
      </c>
      <c r="E69" s="129">
        <v>494461</v>
      </c>
      <c r="F69" s="144">
        <v>4.331791461886866</v>
      </c>
    </row>
    <row r="70" spans="1:6" ht="91.5">
      <c r="A70" s="77" t="s">
        <v>46</v>
      </c>
      <c r="B70" s="78">
        <v>0</v>
      </c>
      <c r="C70" s="78">
        <v>479147</v>
      </c>
      <c r="D70" s="78">
        <v>400000</v>
      </c>
      <c r="E70" s="78">
        <v>-79147</v>
      </c>
      <c r="F70" s="92">
        <v>-0.16518312751619024</v>
      </c>
    </row>
    <row r="71" spans="1:6" ht="91.5">
      <c r="A71" s="80" t="s">
        <v>141</v>
      </c>
      <c r="B71" s="78">
        <v>0</v>
      </c>
      <c r="C71" s="78">
        <v>0</v>
      </c>
      <c r="D71" s="78">
        <v>0</v>
      </c>
      <c r="E71" s="78">
        <v>0</v>
      </c>
      <c r="F71" s="90">
        <v>0</v>
      </c>
    </row>
    <row r="72" spans="1:6" s="126" customFormat="1" ht="90">
      <c r="A72" s="99" t="s">
        <v>48</v>
      </c>
      <c r="B72" s="74">
        <v>560811.48</v>
      </c>
      <c r="C72" s="74">
        <f>SUM(C69:C71)</f>
        <v>593294</v>
      </c>
      <c r="D72" s="74">
        <v>1008608</v>
      </c>
      <c r="E72" s="74">
        <v>415314</v>
      </c>
      <c r="F72" s="87">
        <v>0.700013821140952</v>
      </c>
    </row>
    <row r="73" spans="1:6" ht="92.25" thickBot="1">
      <c r="A73" s="151" t="s">
        <v>31</v>
      </c>
      <c r="B73" s="152">
        <f>B72+B68+B63+B59-1</f>
        <v>53451509.84</v>
      </c>
      <c r="C73" s="152">
        <f>C72+C68+C63+C59</f>
        <v>54022812.160000004</v>
      </c>
      <c r="D73" s="152">
        <v>56281588.25</v>
      </c>
      <c r="E73" s="152">
        <v>2246019.09</v>
      </c>
      <c r="F73" s="153">
        <v>0.04156556736451712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5" ht="91.5">
      <c r="A75" s="56" t="s">
        <v>0</v>
      </c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A66">
      <selection activeCell="D13" sqref="D13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163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28926721</v>
      </c>
      <c r="C8" s="74">
        <f>26370532+452200+383989+1720000</f>
        <v>28926721</v>
      </c>
      <c r="D8" s="74">
        <v>34553258</v>
      </c>
      <c r="E8" s="74">
        <f>D8-C8</f>
        <v>5626537</v>
      </c>
      <c r="F8" s="75">
        <f>E8/C8</f>
        <v>0.19451001722594138</v>
      </c>
    </row>
    <row r="9" spans="1:6" ht="91.5">
      <c r="A9" s="76" t="s">
        <v>60</v>
      </c>
      <c r="B9" s="74">
        <f>SUM(B10:B23)</f>
        <v>1817013</v>
      </c>
      <c r="C9" s="74">
        <f>SUM(C10:C23)</f>
        <v>1817013</v>
      </c>
      <c r="D9" s="74">
        <f>SUM(D10:D23)</f>
        <v>1267933</v>
      </c>
      <c r="E9" s="74">
        <f>D9-C9</f>
        <v>-549080</v>
      </c>
      <c r="F9" s="75">
        <f>E9/C9</f>
        <v>-0.3021882617240493</v>
      </c>
    </row>
    <row r="10" spans="1:6" ht="91.5">
      <c r="A10" s="77" t="s">
        <v>61</v>
      </c>
      <c r="B10" s="78">
        <v>614564</v>
      </c>
      <c r="C10" s="78">
        <v>614564</v>
      </c>
      <c r="D10" s="78">
        <v>0</v>
      </c>
      <c r="E10" s="78">
        <f>D10-C10</f>
        <v>-614564</v>
      </c>
      <c r="F10" s="79">
        <f>E10/C10</f>
        <v>-1</v>
      </c>
    </row>
    <row r="11" spans="1:6" ht="91.5">
      <c r="A11" s="80" t="s">
        <v>62</v>
      </c>
      <c r="B11" s="78">
        <f>476936+281395+444118</f>
        <v>1202449</v>
      </c>
      <c r="C11" s="78">
        <v>1202449</v>
      </c>
      <c r="D11" s="78">
        <v>1267933</v>
      </c>
      <c r="E11" s="78">
        <f>D11-C11</f>
        <v>65484</v>
      </c>
      <c r="F11" s="79">
        <f>E11/C11</f>
        <v>0.05445885854618367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>D12-C12</f>
        <v>0</v>
      </c>
      <c r="F12" s="79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aca="true" t="shared" si="0" ref="E13:E23">D13-C13</f>
        <v>0</v>
      </c>
      <c r="F13" s="79"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v>0</v>
      </c>
    </row>
    <row r="19" spans="1:6" ht="91.5">
      <c r="A19" s="80" t="s">
        <v>96</v>
      </c>
      <c r="B19" s="78">
        <v>0</v>
      </c>
      <c r="C19" s="78">
        <v>0</v>
      </c>
      <c r="D19" s="78">
        <v>0</v>
      </c>
      <c r="E19" s="78">
        <f>D19-C19</f>
        <v>0</v>
      </c>
      <c r="F19" s="79">
        <v>0</v>
      </c>
    </row>
    <row r="20" spans="1:6" ht="91.5">
      <c r="A20" s="80" t="s">
        <v>68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v>0</v>
      </c>
    </row>
    <row r="21" spans="1:6" ht="91.5">
      <c r="A21" s="80" t="s">
        <v>69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v>0</v>
      </c>
    </row>
    <row r="22" spans="1:6" ht="91.5">
      <c r="A22" s="81" t="s">
        <v>70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v>0</v>
      </c>
    </row>
    <row r="23" spans="1:6" ht="91.5">
      <c r="A23" s="130" t="s">
        <v>71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157">
        <v>0</v>
      </c>
    </row>
    <row r="24" spans="1:6" ht="91.5">
      <c r="A24" s="158" t="s">
        <v>50</v>
      </c>
      <c r="B24" s="156">
        <f>+B25</f>
        <v>0</v>
      </c>
      <c r="C24" s="74">
        <f>+C25</f>
        <v>0</v>
      </c>
      <c r="D24" s="74">
        <f>+D25</f>
        <v>0</v>
      </c>
      <c r="E24" s="74">
        <f aca="true" t="shared" si="1" ref="E24:E29">D24-C24</f>
        <v>0</v>
      </c>
      <c r="F24" s="75">
        <v>0</v>
      </c>
    </row>
    <row r="25" spans="1:6" ht="91.5">
      <c r="A25" s="77" t="s">
        <v>53</v>
      </c>
      <c r="B25" s="78"/>
      <c r="C25" s="78"/>
      <c r="D25" s="78"/>
      <c r="E25" s="78">
        <f t="shared" si="1"/>
        <v>0</v>
      </c>
      <c r="F25" s="79">
        <v>0</v>
      </c>
    </row>
    <row r="26" spans="1:6" ht="91.5">
      <c r="A26" s="76" t="s">
        <v>52</v>
      </c>
      <c r="B26" s="83">
        <f>+B27</f>
        <v>0</v>
      </c>
      <c r="C26" s="83">
        <f>+C27</f>
        <v>0</v>
      </c>
      <c r="D26" s="83">
        <f>+D27</f>
        <v>0</v>
      </c>
      <c r="E26" s="83">
        <f t="shared" si="1"/>
        <v>0</v>
      </c>
      <c r="F26" s="75"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1"/>
        <v>0</v>
      </c>
      <c r="F27" s="79"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1"/>
        <v>0</v>
      </c>
      <c r="F28" s="79">
        <v>0</v>
      </c>
    </row>
    <row r="29" spans="1:6" s="126" customFormat="1" ht="90">
      <c r="A29" s="148" t="s">
        <v>14</v>
      </c>
      <c r="B29" s="74">
        <f>B28+B27+B25+B9+B8</f>
        <v>30743734</v>
      </c>
      <c r="C29" s="74">
        <f>C28+C27+C25+C9+C8</f>
        <v>30743734</v>
      </c>
      <c r="D29" s="74">
        <f>D28+D27+D25+D9+D8</f>
        <v>35821191</v>
      </c>
      <c r="E29" s="74">
        <f t="shared" si="1"/>
        <v>5077457</v>
      </c>
      <c r="F29" s="75">
        <f>E29/C29</f>
        <v>0.16515420670761724</v>
      </c>
    </row>
    <row r="30" spans="1:6" ht="91.5">
      <c r="A30" s="77"/>
      <c r="B30" s="88"/>
      <c r="C30" s="88"/>
      <c r="D30" s="88"/>
      <c r="E30" s="88"/>
      <c r="F30" s="145"/>
    </row>
    <row r="31" spans="1:6" ht="91.5">
      <c r="A31" s="131" t="s">
        <v>78</v>
      </c>
      <c r="B31" s="120">
        <v>0</v>
      </c>
      <c r="C31" s="120">
        <v>0</v>
      </c>
      <c r="D31" s="120">
        <v>0</v>
      </c>
      <c r="E31" s="120">
        <f>D31-C31</f>
        <v>0</v>
      </c>
      <c r="F31" s="132">
        <v>0</v>
      </c>
    </row>
    <row r="32" spans="1:6" ht="91.5">
      <c r="A32" s="133" t="s">
        <v>0</v>
      </c>
      <c r="B32" s="134"/>
      <c r="C32" s="134"/>
      <c r="D32" s="134"/>
      <c r="E32" s="134"/>
      <c r="F32" s="135"/>
    </row>
    <row r="33" spans="1:6" ht="91.5">
      <c r="A33" s="131" t="s">
        <v>15</v>
      </c>
      <c r="B33" s="120">
        <v>0</v>
      </c>
      <c r="C33" s="120">
        <v>0</v>
      </c>
      <c r="D33" s="120">
        <v>0</v>
      </c>
      <c r="E33" s="120">
        <v>0</v>
      </c>
      <c r="F33" s="136">
        <v>0</v>
      </c>
    </row>
    <row r="34" spans="1:6" ht="91.5">
      <c r="A34" s="133" t="s">
        <v>0</v>
      </c>
      <c r="B34" s="134"/>
      <c r="C34" s="134"/>
      <c r="D34" s="134"/>
      <c r="E34" s="134"/>
      <c r="F34" s="135"/>
    </row>
    <row r="35" spans="1:6" ht="91.5">
      <c r="A35" s="128" t="s">
        <v>56</v>
      </c>
      <c r="B35" s="74">
        <f>21278583-4890</f>
        <v>21273693</v>
      </c>
      <c r="C35" s="74">
        <f>24047533+90304-55729-20241</f>
        <v>24061867</v>
      </c>
      <c r="D35" s="74">
        <v>24058741</v>
      </c>
      <c r="E35" s="74">
        <f>D35-C35</f>
        <v>-3126</v>
      </c>
      <c r="F35" s="75">
        <f>E35/C35</f>
        <v>-0.00012991510592257866</v>
      </c>
    </row>
    <row r="36" spans="1:6" ht="91.5">
      <c r="A36" s="76" t="s">
        <v>0</v>
      </c>
      <c r="B36" s="86"/>
      <c r="C36" s="86"/>
      <c r="D36" s="86"/>
      <c r="E36" s="86"/>
      <c r="F36" s="87"/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v>0</v>
      </c>
      <c r="F37" s="136">
        <v>0</v>
      </c>
    </row>
    <row r="38" spans="1:6" ht="91.5">
      <c r="A38" s="133"/>
      <c r="B38" s="134"/>
      <c r="C38" s="134"/>
      <c r="D38" s="134"/>
      <c r="E38" s="134"/>
      <c r="F38" s="135"/>
    </row>
    <row r="39" spans="1:6" ht="91.5">
      <c r="A39" s="131" t="s">
        <v>17</v>
      </c>
      <c r="B39" s="120">
        <f>B37+B35+B33+B29</f>
        <v>52017427</v>
      </c>
      <c r="C39" s="120">
        <f>C37+C35+C33+C29</f>
        <v>54805601</v>
      </c>
      <c r="D39" s="120">
        <f>D37+D35+D33+D29</f>
        <v>59879932</v>
      </c>
      <c r="E39" s="120">
        <f>D39-C39</f>
        <v>5074331</v>
      </c>
      <c r="F39" s="136">
        <f>E39/C39</f>
        <v>0.09258781780351245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22859653</v>
      </c>
      <c r="C41" s="138">
        <f>25489870+175000-55729</f>
        <v>25609141</v>
      </c>
      <c r="D41" s="138">
        <v>28976817</v>
      </c>
      <c r="E41" s="138">
        <f aca="true" t="shared" si="2" ref="E41:E54">D41-C41</f>
        <v>3367676</v>
      </c>
      <c r="F41" s="139">
        <f>E41/C41</f>
        <v>0.13150288797269694</v>
      </c>
    </row>
    <row r="42" spans="1:6" ht="91.5">
      <c r="A42" s="77" t="s">
        <v>20</v>
      </c>
      <c r="B42" s="78">
        <v>404438</v>
      </c>
      <c r="C42" s="78">
        <v>460323</v>
      </c>
      <c r="D42" s="78">
        <v>552760</v>
      </c>
      <c r="E42" s="78">
        <f t="shared" si="2"/>
        <v>92437</v>
      </c>
      <c r="F42" s="92">
        <f>E42/C42</f>
        <v>0.20080899716068934</v>
      </c>
    </row>
    <row r="43" spans="1:6" ht="91.5">
      <c r="A43" s="80" t="s">
        <v>21</v>
      </c>
      <c r="B43" s="78">
        <v>244000</v>
      </c>
      <c r="C43" s="78">
        <v>244000</v>
      </c>
      <c r="D43" s="78">
        <v>244000</v>
      </c>
      <c r="E43" s="78">
        <f t="shared" si="2"/>
        <v>0</v>
      </c>
      <c r="F43" s="90">
        <f aca="true" t="shared" si="3" ref="F43:F54">E43/C43</f>
        <v>0</v>
      </c>
    </row>
    <row r="44" spans="1:6" ht="91.5">
      <c r="A44" s="80" t="s">
        <v>49</v>
      </c>
      <c r="B44" s="78">
        <v>5303727</v>
      </c>
      <c r="C44" s="78">
        <f>5563990+110000-20241</f>
        <v>5653749</v>
      </c>
      <c r="D44" s="78">
        <v>6267465</v>
      </c>
      <c r="E44" s="78">
        <f t="shared" si="2"/>
        <v>613716</v>
      </c>
      <c r="F44" s="90">
        <f t="shared" si="3"/>
        <v>0.10855027345571938</v>
      </c>
    </row>
    <row r="45" spans="1:6" ht="91.5">
      <c r="A45" s="80" t="s">
        <v>22</v>
      </c>
      <c r="B45" s="78">
        <v>2964042</v>
      </c>
      <c r="C45" s="78">
        <f>2945605+50000</f>
        <v>2995605</v>
      </c>
      <c r="D45" s="78">
        <v>3388137</v>
      </c>
      <c r="E45" s="78">
        <f t="shared" si="2"/>
        <v>392532</v>
      </c>
      <c r="F45" s="90">
        <f t="shared" si="3"/>
        <v>0.13103596769266976</v>
      </c>
    </row>
    <row r="46" spans="1:6" ht="91.5">
      <c r="A46" s="80" t="s">
        <v>23</v>
      </c>
      <c r="B46" s="78">
        <f>6806594-4890</f>
        <v>6801704</v>
      </c>
      <c r="C46" s="78">
        <f>5974983+48989</f>
        <v>6023972</v>
      </c>
      <c r="D46" s="78">
        <v>6990941</v>
      </c>
      <c r="E46" s="78">
        <f t="shared" si="2"/>
        <v>966969</v>
      </c>
      <c r="F46" s="90">
        <f t="shared" si="3"/>
        <v>0.16052016842043754</v>
      </c>
    </row>
    <row r="47" spans="1:6" ht="91.5">
      <c r="A47" s="80" t="s">
        <v>24</v>
      </c>
      <c r="B47" s="78">
        <v>2280233</v>
      </c>
      <c r="C47" s="78">
        <v>2469067</v>
      </c>
      <c r="D47" s="78">
        <v>3102597</v>
      </c>
      <c r="E47" s="78">
        <f t="shared" si="2"/>
        <v>633530</v>
      </c>
      <c r="F47" s="90">
        <f t="shared" si="3"/>
        <v>0.25658679979117616</v>
      </c>
    </row>
    <row r="48" spans="1:6" ht="91.5">
      <c r="A48" s="80" t="s">
        <v>25</v>
      </c>
      <c r="B48" s="78">
        <v>6371891</v>
      </c>
      <c r="C48" s="78">
        <f>6000405+542504</f>
        <v>6542909</v>
      </c>
      <c r="D48" s="78">
        <v>6748110</v>
      </c>
      <c r="E48" s="78">
        <f t="shared" si="2"/>
        <v>205201</v>
      </c>
      <c r="F48" s="90">
        <f t="shared" si="3"/>
        <v>0.031362349682687016</v>
      </c>
    </row>
    <row r="49" spans="1:6" ht="91.5">
      <c r="A49" s="76" t="s">
        <v>26</v>
      </c>
      <c r="B49" s="74">
        <f>SUM(B41:B48)</f>
        <v>47229688</v>
      </c>
      <c r="C49" s="74">
        <f>SUM(C41:C48)</f>
        <v>49998766</v>
      </c>
      <c r="D49" s="74">
        <f>SUM(D41:D48)</f>
        <v>56270827</v>
      </c>
      <c r="E49" s="74">
        <f t="shared" si="2"/>
        <v>6272061</v>
      </c>
      <c r="F49" s="87">
        <f t="shared" si="3"/>
        <v>0.12544431596571803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2"/>
        <v>0</v>
      </c>
      <c r="F50" s="90"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f t="shared" si="2"/>
        <v>0</v>
      </c>
      <c r="F51" s="90">
        <v>0</v>
      </c>
    </row>
    <row r="52" spans="1:6" ht="91.5">
      <c r="A52" s="80" t="s">
        <v>29</v>
      </c>
      <c r="B52" s="78">
        <v>2861835</v>
      </c>
      <c r="C52" s="78">
        <v>2861835</v>
      </c>
      <c r="D52" s="78">
        <v>3384105</v>
      </c>
      <c r="E52" s="78">
        <f t="shared" si="2"/>
        <v>522270</v>
      </c>
      <c r="F52" s="90">
        <f t="shared" si="3"/>
        <v>0.18249479791811896</v>
      </c>
    </row>
    <row r="53" spans="1:6" ht="91.5">
      <c r="A53" s="80" t="s">
        <v>30</v>
      </c>
      <c r="B53" s="78">
        <v>1925904</v>
      </c>
      <c r="C53" s="78">
        <f>225000+1720000</f>
        <v>1945000</v>
      </c>
      <c r="D53" s="78">
        <v>225000</v>
      </c>
      <c r="E53" s="78">
        <f t="shared" si="2"/>
        <v>-1720000</v>
      </c>
      <c r="F53" s="90">
        <f t="shared" si="3"/>
        <v>-0.884318766066838</v>
      </c>
    </row>
    <row r="54" spans="1:6" ht="91.5">
      <c r="A54" s="76" t="s">
        <v>31</v>
      </c>
      <c r="B54" s="74">
        <f>B53+B52+B51+B50+B49</f>
        <v>52017427</v>
      </c>
      <c r="C54" s="74">
        <f>C53+C52+C51+C50+C49</f>
        <v>54805601</v>
      </c>
      <c r="D54" s="74">
        <f>D53+D52+D51+D50+D49</f>
        <v>59879932</v>
      </c>
      <c r="E54" s="74">
        <f t="shared" si="2"/>
        <v>5074331</v>
      </c>
      <c r="F54" s="87">
        <f t="shared" si="3"/>
        <v>0.09258781780351245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v>26584980</v>
      </c>
      <c r="C56" s="138">
        <f>26858731-41694</f>
        <v>26817037</v>
      </c>
      <c r="D56" s="138">
        <v>30360832</v>
      </c>
      <c r="E56" s="138">
        <f>D56-C56</f>
        <v>3543795</v>
      </c>
      <c r="F56" s="139">
        <f>E56/C56</f>
        <v>0.13214714959001622</v>
      </c>
    </row>
    <row r="57" spans="1:6" ht="91.5">
      <c r="A57" s="77" t="s">
        <v>34</v>
      </c>
      <c r="B57" s="78">
        <v>374022</v>
      </c>
      <c r="C57" s="78">
        <v>437041</v>
      </c>
      <c r="D57" s="78">
        <v>541141</v>
      </c>
      <c r="E57" s="78">
        <f>D57-C57</f>
        <v>104100</v>
      </c>
      <c r="F57" s="92">
        <f>E57/C57</f>
        <v>0.23819275537077758</v>
      </c>
    </row>
    <row r="58" spans="1:6" ht="91.5">
      <c r="A58" s="80" t="s">
        <v>35</v>
      </c>
      <c r="B58" s="78">
        <v>9303288</v>
      </c>
      <c r="C58" s="78">
        <f>9610765-14035</f>
        <v>9596730</v>
      </c>
      <c r="D58" s="78">
        <v>11144075</v>
      </c>
      <c r="E58" s="78">
        <f>D58-C58</f>
        <v>1547345</v>
      </c>
      <c r="F58" s="90">
        <f>E58/C58</f>
        <v>0.16123669208157362</v>
      </c>
    </row>
    <row r="59" spans="1:6" s="126" customFormat="1" ht="90">
      <c r="A59" s="76" t="s">
        <v>36</v>
      </c>
      <c r="B59" s="74">
        <f>SUM(B56:B58)</f>
        <v>36262290</v>
      </c>
      <c r="C59" s="74">
        <f>SUM(C56:C58)</f>
        <v>36850808</v>
      </c>
      <c r="D59" s="74">
        <f>SUM(D56:D58)</f>
        <v>42046048</v>
      </c>
      <c r="E59" s="74">
        <f aca="true" t="shared" si="4" ref="E59:E73">D59-C59</f>
        <v>5195240</v>
      </c>
      <c r="F59" s="87">
        <f>E59/C59</f>
        <v>0.1409803551661608</v>
      </c>
    </row>
    <row r="60" spans="1:6" ht="91.5">
      <c r="A60" s="142" t="s">
        <v>37</v>
      </c>
      <c r="B60" s="141">
        <v>237083</v>
      </c>
      <c r="C60" s="141">
        <f>307614+100000</f>
        <v>407614</v>
      </c>
      <c r="D60" s="141">
        <v>358715</v>
      </c>
      <c r="E60" s="141">
        <f t="shared" si="4"/>
        <v>-48899</v>
      </c>
      <c r="F60" s="143">
        <f>E60/C60</f>
        <v>-0.1199639855353349</v>
      </c>
    </row>
    <row r="61" spans="1:6" ht="91.5">
      <c r="A61" s="77" t="s">
        <v>38</v>
      </c>
      <c r="B61" s="78">
        <f>2903855-4890</f>
        <v>2898965</v>
      </c>
      <c r="C61" s="78">
        <f>3224678+60000</f>
        <v>3284678</v>
      </c>
      <c r="D61" s="78">
        <v>3440559</v>
      </c>
      <c r="E61" s="78">
        <f t="shared" si="4"/>
        <v>155881</v>
      </c>
      <c r="F61" s="92">
        <f>E61/D61</f>
        <v>0.045306881817751124</v>
      </c>
    </row>
    <row r="62" spans="1:6" ht="91.5">
      <c r="A62" s="80" t="s">
        <v>39</v>
      </c>
      <c r="B62" s="78">
        <v>1607637</v>
      </c>
      <c r="C62" s="78">
        <f>1329029+198989</f>
        <v>1528018</v>
      </c>
      <c r="D62" s="78">
        <v>1390667</v>
      </c>
      <c r="E62" s="78">
        <f t="shared" si="4"/>
        <v>-137351</v>
      </c>
      <c r="F62" s="90">
        <f>E62/C62</f>
        <v>-0.08988833901171321</v>
      </c>
    </row>
    <row r="63" spans="1:6" s="126" customFormat="1" ht="90">
      <c r="A63" s="76" t="s">
        <v>40</v>
      </c>
      <c r="B63" s="74">
        <f>SUM(B60:B62)</f>
        <v>4743685</v>
      </c>
      <c r="C63" s="74">
        <f>SUM(C60:C62)</f>
        <v>5220310</v>
      </c>
      <c r="D63" s="74">
        <f>SUM(D60:D62)</f>
        <v>5189941</v>
      </c>
      <c r="E63" s="74">
        <f t="shared" si="4"/>
        <v>-30369</v>
      </c>
      <c r="F63" s="87">
        <f>E63/C63</f>
        <v>-0.005817470609982932</v>
      </c>
    </row>
    <row r="64" spans="1:6" ht="91.5">
      <c r="A64" s="81" t="s">
        <v>41</v>
      </c>
      <c r="B64" s="129">
        <v>319904</v>
      </c>
      <c r="C64" s="129">
        <f>416470+25000</f>
        <v>441470</v>
      </c>
      <c r="D64" s="129">
        <v>390360</v>
      </c>
      <c r="E64" s="129">
        <f t="shared" si="4"/>
        <v>-51110</v>
      </c>
      <c r="F64" s="144">
        <f aca="true" t="shared" si="5" ref="F64:F73">E64/C64</f>
        <v>-0.1157723061589689</v>
      </c>
    </row>
    <row r="65" spans="1:6" ht="91.5">
      <c r="A65" s="77" t="s">
        <v>42</v>
      </c>
      <c r="B65" s="78">
        <v>8201010</v>
      </c>
      <c r="C65" s="78">
        <f>8322276-20241+1720000</f>
        <v>10022035</v>
      </c>
      <c r="D65" s="78">
        <v>10194783</v>
      </c>
      <c r="E65" s="78">
        <f t="shared" si="4"/>
        <v>172748</v>
      </c>
      <c r="F65" s="92">
        <f t="shared" si="5"/>
        <v>0.017236818670060522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4"/>
        <v>0</v>
      </c>
      <c r="F66" s="90">
        <v>0</v>
      </c>
    </row>
    <row r="67" spans="1:6" ht="91.5">
      <c r="A67" s="80" t="s">
        <v>44</v>
      </c>
      <c r="B67" s="78">
        <v>1244223</v>
      </c>
      <c r="C67" s="78">
        <f>742956+542504</f>
        <v>1285460</v>
      </c>
      <c r="D67" s="78">
        <v>1125495</v>
      </c>
      <c r="E67" s="78">
        <f t="shared" si="4"/>
        <v>-159965</v>
      </c>
      <c r="F67" s="90">
        <f t="shared" si="5"/>
        <v>-0.12444183405162354</v>
      </c>
    </row>
    <row r="68" spans="1:6" s="126" customFormat="1" ht="90">
      <c r="A68" s="76" t="s">
        <v>45</v>
      </c>
      <c r="B68" s="74">
        <f>SUM(B64:B67)</f>
        <v>9765137</v>
      </c>
      <c r="C68" s="74">
        <f>SUM(C64:C67)</f>
        <v>11748965</v>
      </c>
      <c r="D68" s="74">
        <f>SUM(D64:D67)</f>
        <v>11710638</v>
      </c>
      <c r="E68" s="74">
        <f t="shared" si="4"/>
        <v>-38327</v>
      </c>
      <c r="F68" s="87">
        <f t="shared" si="5"/>
        <v>-0.0032621596881086973</v>
      </c>
    </row>
    <row r="69" spans="1:6" ht="91.5">
      <c r="A69" s="81" t="s">
        <v>57</v>
      </c>
      <c r="B69" s="129">
        <v>719481</v>
      </c>
      <c r="C69" s="129">
        <v>222095</v>
      </c>
      <c r="D69" s="129">
        <v>204882</v>
      </c>
      <c r="E69" s="129">
        <f t="shared" si="4"/>
        <v>-17213</v>
      </c>
      <c r="F69" s="144">
        <f t="shared" si="5"/>
        <v>-0.07750287039330016</v>
      </c>
    </row>
    <row r="70" spans="1:6" ht="91.5">
      <c r="A70" s="77" t="s">
        <v>46</v>
      </c>
      <c r="B70" s="78">
        <v>526834</v>
      </c>
      <c r="C70" s="78">
        <v>763423</v>
      </c>
      <c r="D70" s="78">
        <v>728423</v>
      </c>
      <c r="E70" s="78">
        <f t="shared" si="4"/>
        <v>-35000</v>
      </c>
      <c r="F70" s="92">
        <f t="shared" si="5"/>
        <v>-0.04584614296399244</v>
      </c>
    </row>
    <row r="71" spans="1:6" ht="91.5">
      <c r="A71" s="80" t="s">
        <v>47</v>
      </c>
      <c r="B71" s="78">
        <v>0</v>
      </c>
      <c r="C71" s="78">
        <v>0</v>
      </c>
      <c r="D71" s="78">
        <v>0</v>
      </c>
      <c r="E71" s="78">
        <f t="shared" si="4"/>
        <v>0</v>
      </c>
      <c r="F71" s="90">
        <v>0</v>
      </c>
    </row>
    <row r="72" spans="1:6" s="126" customFormat="1" ht="90">
      <c r="A72" s="99" t="s">
        <v>48</v>
      </c>
      <c r="B72" s="74">
        <f>SUM(B69:B71)</f>
        <v>1246315</v>
      </c>
      <c r="C72" s="74">
        <f>SUM(C69:C71)</f>
        <v>985518</v>
      </c>
      <c r="D72" s="74">
        <f>SUM(D69:D71)</f>
        <v>933305</v>
      </c>
      <c r="E72" s="74">
        <f t="shared" si="4"/>
        <v>-52213</v>
      </c>
      <c r="F72" s="87">
        <f t="shared" si="5"/>
        <v>-0.05298026012716155</v>
      </c>
    </row>
    <row r="73" spans="1:6" ht="92.25" thickBot="1">
      <c r="A73" s="151" t="s">
        <v>31</v>
      </c>
      <c r="B73" s="152">
        <f>B72+B68+B63+B59</f>
        <v>52017427</v>
      </c>
      <c r="C73" s="152">
        <f>C72+C68+C63+C59</f>
        <v>54805601</v>
      </c>
      <c r="D73" s="152">
        <f>D72+D68+D63+D59</f>
        <v>59879932</v>
      </c>
      <c r="E73" s="152">
        <f t="shared" si="4"/>
        <v>5074331</v>
      </c>
      <c r="F73" s="153">
        <f t="shared" si="5"/>
        <v>0.09258781780351245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B2">
      <selection activeCell="D13" sqref="D13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164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29901773</v>
      </c>
      <c r="C8" s="74">
        <v>29901773</v>
      </c>
      <c r="D8" s="74">
        <v>41251962</v>
      </c>
      <c r="E8" s="74">
        <f>D8-C8</f>
        <v>11350189</v>
      </c>
      <c r="F8" s="75">
        <f>E8/C8</f>
        <v>0.3795824749254835</v>
      </c>
    </row>
    <row r="9" spans="1:6" ht="91.5">
      <c r="A9" s="76" t="s">
        <v>60</v>
      </c>
      <c r="B9" s="74">
        <v>2704496</v>
      </c>
      <c r="C9" s="74">
        <v>2704496</v>
      </c>
      <c r="D9" s="74">
        <v>1995313</v>
      </c>
      <c r="E9" s="74">
        <f>D9-C9</f>
        <v>-709183</v>
      </c>
      <c r="F9" s="75">
        <f>E9/C9</f>
        <v>-0.2622237193177583</v>
      </c>
    </row>
    <row r="10" spans="1:6" ht="91.5">
      <c r="A10" s="77" t="s">
        <v>61</v>
      </c>
      <c r="B10" s="78">
        <v>401364</v>
      </c>
      <c r="C10" s="78">
        <v>401364</v>
      </c>
      <c r="D10" s="78">
        <v>0</v>
      </c>
      <c r="E10" s="78">
        <f aca="true" t="shared" si="0" ref="E10:E29">D10-C10</f>
        <v>-401364</v>
      </c>
      <c r="F10" s="79">
        <f>E10/C10</f>
        <v>-1</v>
      </c>
    </row>
    <row r="11" spans="1:6" ht="91.5">
      <c r="A11" s="80" t="s">
        <v>62</v>
      </c>
      <c r="B11" s="78">
        <v>1369170</v>
      </c>
      <c r="C11" s="78">
        <v>1369170</v>
      </c>
      <c r="D11" s="78">
        <f>1369170+74903</f>
        <v>1444073</v>
      </c>
      <c r="E11" s="78">
        <f t="shared" si="0"/>
        <v>74903</v>
      </c>
      <c r="F11" s="79">
        <f>E11/C11</f>
        <v>0.054706866203612405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v>0</v>
      </c>
    </row>
    <row r="13" spans="1:6" ht="91.5">
      <c r="A13" s="80" t="s">
        <v>66</v>
      </c>
      <c r="B13" s="78">
        <v>350464</v>
      </c>
      <c r="C13" s="78">
        <v>350464</v>
      </c>
      <c r="D13" s="78">
        <v>551240</v>
      </c>
      <c r="E13" s="78">
        <f t="shared" si="0"/>
        <v>200776</v>
      </c>
      <c r="F13" s="79">
        <f>E13/C13</f>
        <v>0.57288623082542</v>
      </c>
    </row>
    <row r="14" spans="1:6" ht="91.5">
      <c r="A14" s="80" t="s">
        <v>100</v>
      </c>
      <c r="B14" s="78">
        <v>0</v>
      </c>
      <c r="C14" s="78">
        <v>0</v>
      </c>
      <c r="D14" s="78">
        <v>0</v>
      </c>
      <c r="E14" s="78">
        <f aca="true" t="shared" si="1" ref="E14:E19">D14-C14</f>
        <v>0</v>
      </c>
      <c r="F14" s="79"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v>0</v>
      </c>
    </row>
    <row r="19" spans="1:6" ht="91.5">
      <c r="A19" s="80" t="s">
        <v>96</v>
      </c>
      <c r="B19" s="78">
        <v>583498</v>
      </c>
      <c r="C19" s="78">
        <v>583498</v>
      </c>
      <c r="D19" s="78">
        <v>0</v>
      </c>
      <c r="E19" s="78">
        <f t="shared" si="1"/>
        <v>-583498</v>
      </c>
      <c r="F19" s="79">
        <f>E19/C19</f>
        <v>-1</v>
      </c>
    </row>
    <row r="20" spans="1:6" ht="91.5">
      <c r="A20" s="80" t="s">
        <v>68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v>0</v>
      </c>
    </row>
    <row r="21" spans="1:6" ht="91.5">
      <c r="A21" s="80" t="s">
        <v>69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v>1</v>
      </c>
    </row>
    <row r="22" spans="1:6" ht="91.5">
      <c r="A22" s="81" t="s">
        <v>70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v>0</v>
      </c>
    </row>
    <row r="23" spans="1:6" ht="91.5">
      <c r="A23" s="130" t="s">
        <v>71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157">
        <v>0</v>
      </c>
    </row>
    <row r="24" spans="1:6" ht="91.5">
      <c r="A24" s="158" t="s">
        <v>50</v>
      </c>
      <c r="B24" s="156">
        <v>0</v>
      </c>
      <c r="C24" s="74">
        <v>0</v>
      </c>
      <c r="D24" s="74">
        <v>0</v>
      </c>
      <c r="E24" s="74">
        <f t="shared" si="0"/>
        <v>0</v>
      </c>
      <c r="F24" s="75"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v>0</v>
      </c>
    </row>
    <row r="29" spans="1:6" s="126" customFormat="1" ht="90">
      <c r="A29" s="148" t="s">
        <v>14</v>
      </c>
      <c r="B29" s="74">
        <v>32606269</v>
      </c>
      <c r="C29" s="74">
        <v>32606269</v>
      </c>
      <c r="D29" s="74">
        <v>43247275</v>
      </c>
      <c r="E29" s="74">
        <f t="shared" si="0"/>
        <v>10641006</v>
      </c>
      <c r="F29" s="75">
        <f>E29/C29</f>
        <v>0.32634846998287353</v>
      </c>
    </row>
    <row r="30" spans="1:6" ht="91.5">
      <c r="A30" s="77"/>
      <c r="B30" s="88"/>
      <c r="C30" s="88"/>
      <c r="D30" s="88"/>
      <c r="E30" s="88"/>
      <c r="F30" s="145"/>
    </row>
    <row r="31" spans="1:6" ht="91.5">
      <c r="A31" s="131" t="s">
        <v>78</v>
      </c>
      <c r="B31" s="120">
        <v>0</v>
      </c>
      <c r="C31" s="120">
        <v>0</v>
      </c>
      <c r="D31" s="120">
        <v>0</v>
      </c>
      <c r="E31" s="120">
        <f>D31-C31</f>
        <v>0</v>
      </c>
      <c r="F31" s="132">
        <v>0</v>
      </c>
    </row>
    <row r="32" spans="1:6" ht="91.5">
      <c r="A32" s="133" t="s">
        <v>0</v>
      </c>
      <c r="B32" s="134"/>
      <c r="C32" s="134"/>
      <c r="D32" s="134"/>
      <c r="E32" s="134"/>
      <c r="F32" s="135"/>
    </row>
    <row r="33" spans="1:6" ht="91.5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v>0</v>
      </c>
    </row>
    <row r="34" spans="1:6" ht="91.5">
      <c r="A34" s="133" t="s">
        <v>0</v>
      </c>
      <c r="B34" s="134"/>
      <c r="C34" s="134"/>
      <c r="D34" s="134"/>
      <c r="E34" s="134"/>
      <c r="F34" s="135"/>
    </row>
    <row r="35" spans="1:6" ht="91.5">
      <c r="A35" s="128" t="s">
        <v>56</v>
      </c>
      <c r="B35" s="74">
        <v>22414381.42</v>
      </c>
      <c r="C35" s="74">
        <v>25651523</v>
      </c>
      <c r="D35" s="74">
        <v>25667467</v>
      </c>
      <c r="E35" s="74">
        <f>D35-C35</f>
        <v>15944</v>
      </c>
      <c r="F35" s="75">
        <f>E35/C35</f>
        <v>0.0006215615345724307</v>
      </c>
    </row>
    <row r="36" spans="1:6" ht="91.5">
      <c r="A36" s="76" t="s">
        <v>0</v>
      </c>
      <c r="B36" s="86"/>
      <c r="C36" s="86"/>
      <c r="D36" s="86"/>
      <c r="E36" s="86"/>
      <c r="F36" s="87"/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v>0</v>
      </c>
    </row>
    <row r="38" spans="1:6" ht="91.5">
      <c r="A38" s="133"/>
      <c r="B38" s="134"/>
      <c r="C38" s="134"/>
      <c r="D38" s="134"/>
      <c r="E38" s="134"/>
      <c r="F38" s="135"/>
    </row>
    <row r="39" spans="1:6" ht="91.5">
      <c r="A39" s="131" t="s">
        <v>17</v>
      </c>
      <c r="B39" s="120">
        <v>55020650.42</v>
      </c>
      <c r="C39" s="120">
        <v>58257792</v>
      </c>
      <c r="D39" s="120">
        <v>68914742</v>
      </c>
      <c r="E39" s="120">
        <f>D39-C39</f>
        <v>10656950</v>
      </c>
      <c r="F39" s="136">
        <f>E39/C39</f>
        <v>0.18292746144584401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23918615.69</v>
      </c>
      <c r="C41" s="138">
        <v>26490985</v>
      </c>
      <c r="D41" s="138">
        <v>31390381</v>
      </c>
      <c r="E41" s="138">
        <f aca="true" t="shared" si="2" ref="E41:E48">D41-C41</f>
        <v>4899396</v>
      </c>
      <c r="F41" s="139">
        <f>E41/C41</f>
        <v>0.18494578438665077</v>
      </c>
    </row>
    <row r="42" spans="1:6" ht="91.5">
      <c r="A42" s="77" t="s">
        <v>20</v>
      </c>
      <c r="B42" s="78">
        <v>599548.22</v>
      </c>
      <c r="C42" s="78">
        <v>625759</v>
      </c>
      <c r="D42" s="78">
        <v>763176</v>
      </c>
      <c r="E42" s="78">
        <f t="shared" si="2"/>
        <v>137417</v>
      </c>
      <c r="F42" s="92">
        <f>E42/C42</f>
        <v>0.2196005171319949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v>0</v>
      </c>
    </row>
    <row r="44" spans="1:6" ht="91.5">
      <c r="A44" s="80" t="s">
        <v>49</v>
      </c>
      <c r="B44" s="78">
        <v>5292827.56</v>
      </c>
      <c r="C44" s="78">
        <v>5400182</v>
      </c>
      <c r="D44" s="78">
        <v>6785466</v>
      </c>
      <c r="E44" s="78">
        <f t="shared" si="2"/>
        <v>1385284</v>
      </c>
      <c r="F44" s="90">
        <f aca="true" t="shared" si="3" ref="F44:F54">E44/C44</f>
        <v>0.256525428217049</v>
      </c>
    </row>
    <row r="45" spans="1:6" ht="91.5">
      <c r="A45" s="80" t="s">
        <v>22</v>
      </c>
      <c r="B45" s="78">
        <v>3484472.07</v>
      </c>
      <c r="C45" s="78">
        <v>3587245</v>
      </c>
      <c r="D45" s="78">
        <v>4957060</v>
      </c>
      <c r="E45" s="78">
        <f t="shared" si="2"/>
        <v>1369815</v>
      </c>
      <c r="F45" s="90">
        <f t="shared" si="3"/>
        <v>0.38185710761322406</v>
      </c>
    </row>
    <row r="46" spans="1:6" ht="91.5">
      <c r="A46" s="80" t="s">
        <v>23</v>
      </c>
      <c r="B46" s="78">
        <v>6459500.95</v>
      </c>
      <c r="C46" s="78">
        <v>6846517</v>
      </c>
      <c r="D46" s="78">
        <v>8348803</v>
      </c>
      <c r="E46" s="78">
        <f t="shared" si="2"/>
        <v>1502286</v>
      </c>
      <c r="F46" s="90">
        <f t="shared" si="3"/>
        <v>0.21942339440623604</v>
      </c>
    </row>
    <row r="47" spans="1:6" ht="91.5">
      <c r="A47" s="80" t="s">
        <v>24</v>
      </c>
      <c r="B47" s="78">
        <v>3792938.85</v>
      </c>
      <c r="C47" s="78">
        <v>3695228</v>
      </c>
      <c r="D47" s="78">
        <v>4341500</v>
      </c>
      <c r="E47" s="78">
        <f t="shared" si="2"/>
        <v>646272</v>
      </c>
      <c r="F47" s="90">
        <f t="shared" si="3"/>
        <v>0.17489367367859304</v>
      </c>
    </row>
    <row r="48" spans="1:6" ht="91.5">
      <c r="A48" s="80" t="s">
        <v>25</v>
      </c>
      <c r="B48" s="78">
        <v>7282332.25</v>
      </c>
      <c r="C48" s="78">
        <v>7301883</v>
      </c>
      <c r="D48" s="78">
        <v>7088362</v>
      </c>
      <c r="E48" s="78">
        <f t="shared" si="2"/>
        <v>-213521</v>
      </c>
      <c r="F48" s="90">
        <f t="shared" si="3"/>
        <v>-0.029241909244505836</v>
      </c>
    </row>
    <row r="49" spans="1:6" ht="91.5">
      <c r="A49" s="76" t="s">
        <v>26</v>
      </c>
      <c r="B49" s="74">
        <f>SUM(B41:B48)</f>
        <v>50830235.59</v>
      </c>
      <c r="C49" s="74">
        <v>53947799</v>
      </c>
      <c r="D49" s="74">
        <v>63674748</v>
      </c>
      <c r="E49" s="74">
        <f aca="true" t="shared" si="4" ref="E49:E54">D49-C49</f>
        <v>9726949</v>
      </c>
      <c r="F49" s="87">
        <f t="shared" si="3"/>
        <v>0.18030298140615522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4"/>
        <v>0</v>
      </c>
      <c r="F50" s="90">
        <v>0</v>
      </c>
    </row>
    <row r="51" spans="1:6" ht="91.5">
      <c r="A51" s="80" t="s">
        <v>28</v>
      </c>
      <c r="B51" s="78">
        <v>1476367.99</v>
      </c>
      <c r="C51" s="78">
        <v>1595947</v>
      </c>
      <c r="D51" s="78">
        <v>1906312</v>
      </c>
      <c r="E51" s="78">
        <f t="shared" si="4"/>
        <v>310365</v>
      </c>
      <c r="F51" s="90">
        <f t="shared" si="3"/>
        <v>0.19447074370264175</v>
      </c>
    </row>
    <row r="52" spans="1:6" ht="91.5">
      <c r="A52" s="80" t="s">
        <v>29</v>
      </c>
      <c r="B52" s="78">
        <v>2714046</v>
      </c>
      <c r="C52" s="78">
        <v>2714046</v>
      </c>
      <c r="D52" s="78">
        <v>3333682</v>
      </c>
      <c r="E52" s="78">
        <f t="shared" si="4"/>
        <v>619636</v>
      </c>
      <c r="F52" s="90">
        <f t="shared" si="3"/>
        <v>0.22830711049112654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f t="shared" si="4"/>
        <v>0</v>
      </c>
      <c r="F53" s="90">
        <v>0</v>
      </c>
    </row>
    <row r="54" spans="1:6" ht="91.5">
      <c r="A54" s="76" t="s">
        <v>31</v>
      </c>
      <c r="B54" s="74">
        <f>B53+B52+B51+B50+B49</f>
        <v>55020649.580000006</v>
      </c>
      <c r="C54" s="74">
        <v>58257792</v>
      </c>
      <c r="D54" s="74">
        <v>68914742</v>
      </c>
      <c r="E54" s="74">
        <f t="shared" si="4"/>
        <v>10656950</v>
      </c>
      <c r="F54" s="87">
        <f t="shared" si="3"/>
        <v>0.18292746144584401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v>29213220</v>
      </c>
      <c r="C56" s="138">
        <v>30646240</v>
      </c>
      <c r="D56" s="138">
        <v>36321697</v>
      </c>
      <c r="E56" s="138">
        <f>D56-C56</f>
        <v>5675457</v>
      </c>
      <c r="F56" s="139">
        <f aca="true" t="shared" si="5" ref="F56:F63">E56/C56</f>
        <v>0.18519260437822063</v>
      </c>
    </row>
    <row r="57" spans="1:6" ht="91.5">
      <c r="A57" s="77" t="s">
        <v>34</v>
      </c>
      <c r="B57" s="78">
        <v>429105.05</v>
      </c>
      <c r="C57" s="78">
        <v>578748</v>
      </c>
      <c r="D57" s="78">
        <v>793472</v>
      </c>
      <c r="E57" s="78">
        <f>D57-C57</f>
        <v>214724</v>
      </c>
      <c r="F57" s="92">
        <f t="shared" si="5"/>
        <v>0.37101467305286584</v>
      </c>
    </row>
    <row r="58" spans="1:6" ht="91.5">
      <c r="A58" s="80" t="s">
        <v>35</v>
      </c>
      <c r="B58" s="78">
        <v>9201239.99</v>
      </c>
      <c r="C58" s="78">
        <v>10454417</v>
      </c>
      <c r="D58" s="78">
        <v>12244001</v>
      </c>
      <c r="E58" s="78">
        <f>D58-C58</f>
        <v>1789584</v>
      </c>
      <c r="F58" s="90">
        <f t="shared" si="5"/>
        <v>0.17117970327757157</v>
      </c>
    </row>
    <row r="59" spans="1:6" s="126" customFormat="1" ht="90">
      <c r="A59" s="76" t="s">
        <v>36</v>
      </c>
      <c r="B59" s="74">
        <v>38843565.04</v>
      </c>
      <c r="C59" s="74">
        <v>41679405</v>
      </c>
      <c r="D59" s="74">
        <v>49359170</v>
      </c>
      <c r="E59" s="74">
        <f aca="true" t="shared" si="6" ref="E59:E73">D59-C59</f>
        <v>7679765</v>
      </c>
      <c r="F59" s="87">
        <f t="shared" si="5"/>
        <v>0.18425802863548557</v>
      </c>
    </row>
    <row r="60" spans="1:6" ht="91.5">
      <c r="A60" s="142" t="s">
        <v>37</v>
      </c>
      <c r="B60" s="141">
        <v>213391.64</v>
      </c>
      <c r="C60" s="141">
        <v>248240</v>
      </c>
      <c r="D60" s="141">
        <v>487254</v>
      </c>
      <c r="E60" s="141">
        <f t="shared" si="6"/>
        <v>239014</v>
      </c>
      <c r="F60" s="143">
        <f t="shared" si="5"/>
        <v>0.9628343538511118</v>
      </c>
    </row>
    <row r="61" spans="1:6" ht="91.5">
      <c r="A61" s="77" t="s">
        <v>38</v>
      </c>
      <c r="B61" s="78">
        <v>3395885.32</v>
      </c>
      <c r="C61" s="78">
        <v>4713558</v>
      </c>
      <c r="D61" s="78">
        <v>4179837</v>
      </c>
      <c r="E61" s="78">
        <f t="shared" si="6"/>
        <v>-533721</v>
      </c>
      <c r="F61" s="92">
        <f t="shared" si="5"/>
        <v>-0.11323102420719125</v>
      </c>
    </row>
    <row r="62" spans="1:6" ht="91.5">
      <c r="A62" s="80" t="s">
        <v>39</v>
      </c>
      <c r="B62" s="78">
        <v>605595.45</v>
      </c>
      <c r="C62" s="78">
        <v>641437</v>
      </c>
      <c r="D62" s="78">
        <v>808327</v>
      </c>
      <c r="E62" s="78">
        <f t="shared" si="6"/>
        <v>166890</v>
      </c>
      <c r="F62" s="90">
        <f t="shared" si="5"/>
        <v>0.2601814363686535</v>
      </c>
    </row>
    <row r="63" spans="1:6" s="126" customFormat="1" ht="90">
      <c r="A63" s="76" t="s">
        <v>40</v>
      </c>
      <c r="B63" s="74">
        <v>4214872.41</v>
      </c>
      <c r="C63" s="74">
        <v>5603235</v>
      </c>
      <c r="D63" s="74">
        <v>5475418</v>
      </c>
      <c r="E63" s="74">
        <f t="shared" si="6"/>
        <v>-127817</v>
      </c>
      <c r="F63" s="87">
        <f t="shared" si="5"/>
        <v>-0.02281128669420433</v>
      </c>
    </row>
    <row r="64" spans="1:6" ht="91.5">
      <c r="A64" s="81" t="s">
        <v>41</v>
      </c>
      <c r="B64" s="129">
        <v>171834.01</v>
      </c>
      <c r="C64" s="129">
        <v>216414</v>
      </c>
      <c r="D64" s="129">
        <v>416914</v>
      </c>
      <c r="E64" s="129">
        <f t="shared" si="6"/>
        <v>200500</v>
      </c>
      <c r="F64" s="144">
        <f aca="true" t="shared" si="7" ref="F64:F73">E64/C64</f>
        <v>0.9264650161264982</v>
      </c>
    </row>
    <row r="65" spans="1:6" ht="91.5">
      <c r="A65" s="77" t="s">
        <v>42</v>
      </c>
      <c r="B65" s="78">
        <v>6822823.67</v>
      </c>
      <c r="C65" s="78">
        <v>6906832</v>
      </c>
      <c r="D65" s="78">
        <v>8075182</v>
      </c>
      <c r="E65" s="78">
        <f t="shared" si="6"/>
        <v>1168350</v>
      </c>
      <c r="F65" s="92">
        <f t="shared" si="7"/>
        <v>0.1691585954313063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6"/>
        <v>0</v>
      </c>
      <c r="F66" s="90">
        <v>0</v>
      </c>
    </row>
    <row r="67" spans="1:6" ht="91.5">
      <c r="A67" s="80" t="s">
        <v>44</v>
      </c>
      <c r="B67" s="78">
        <v>1476367.99</v>
      </c>
      <c r="C67" s="78">
        <v>1595947</v>
      </c>
      <c r="D67" s="78">
        <v>1906312</v>
      </c>
      <c r="E67" s="78">
        <f t="shared" si="6"/>
        <v>310365</v>
      </c>
      <c r="F67" s="90">
        <f t="shared" si="7"/>
        <v>0.19447074370264175</v>
      </c>
    </row>
    <row r="68" spans="1:6" s="126" customFormat="1" ht="90">
      <c r="A68" s="76" t="s">
        <v>45</v>
      </c>
      <c r="B68" s="74">
        <v>8471025.67</v>
      </c>
      <c r="C68" s="74">
        <v>8719193</v>
      </c>
      <c r="D68" s="74">
        <v>10398408</v>
      </c>
      <c r="E68" s="74">
        <f t="shared" si="6"/>
        <v>1679215</v>
      </c>
      <c r="F68" s="87">
        <f t="shared" si="7"/>
        <v>0.19258835077971093</v>
      </c>
    </row>
    <row r="69" spans="1:6" ht="91.5">
      <c r="A69" s="81" t="s">
        <v>57</v>
      </c>
      <c r="B69" s="129">
        <v>1385931</v>
      </c>
      <c r="C69" s="129">
        <v>1385961</v>
      </c>
      <c r="D69" s="129">
        <v>2190246</v>
      </c>
      <c r="E69" s="129">
        <f t="shared" si="6"/>
        <v>804285</v>
      </c>
      <c r="F69" s="144">
        <f t="shared" si="7"/>
        <v>0.5803085368203001</v>
      </c>
    </row>
    <row r="70" spans="1:6" ht="91.5">
      <c r="A70" s="77" t="s">
        <v>46</v>
      </c>
      <c r="B70" s="78">
        <v>321757.88</v>
      </c>
      <c r="C70" s="78">
        <v>286500</v>
      </c>
      <c r="D70" s="78">
        <v>291500</v>
      </c>
      <c r="E70" s="78">
        <f t="shared" si="6"/>
        <v>5000</v>
      </c>
      <c r="F70" s="92">
        <f t="shared" si="7"/>
        <v>0.017452006980802792</v>
      </c>
    </row>
    <row r="71" spans="1:6" ht="91.5">
      <c r="A71" s="80" t="s">
        <v>47</v>
      </c>
      <c r="B71" s="78">
        <v>1783498</v>
      </c>
      <c r="C71" s="78">
        <v>583498</v>
      </c>
      <c r="D71" s="78">
        <v>1200000</v>
      </c>
      <c r="E71" s="78">
        <f t="shared" si="6"/>
        <v>616502</v>
      </c>
      <c r="F71" s="90">
        <f t="shared" si="7"/>
        <v>1.056562318979671</v>
      </c>
    </row>
    <row r="72" spans="1:6" s="126" customFormat="1" ht="90">
      <c r="A72" s="99" t="s">
        <v>48</v>
      </c>
      <c r="B72" s="74">
        <v>3491186.88</v>
      </c>
      <c r="C72" s="74">
        <v>2255959</v>
      </c>
      <c r="D72" s="74">
        <v>3681746</v>
      </c>
      <c r="E72" s="74">
        <f t="shared" si="6"/>
        <v>1425787</v>
      </c>
      <c r="F72" s="87">
        <f t="shared" si="7"/>
        <v>0.6320092696720109</v>
      </c>
    </row>
    <row r="73" spans="1:6" ht="92.25" thickBot="1">
      <c r="A73" s="151" t="s">
        <v>31</v>
      </c>
      <c r="B73" s="152">
        <v>55020650</v>
      </c>
      <c r="C73" s="152">
        <v>58257792</v>
      </c>
      <c r="D73" s="152">
        <v>68914742</v>
      </c>
      <c r="E73" s="152">
        <f t="shared" si="6"/>
        <v>10656950</v>
      </c>
      <c r="F73" s="153">
        <f t="shared" si="7"/>
        <v>0.18292746144584401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.5" footer="0"/>
  <pageSetup fitToHeight="1" fitToWidth="1" horizontalDpi="600" verticalDpi="600" orientation="portrait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B1">
      <selection activeCell="D13" sqref="D13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103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f>35006513-B9</f>
        <v>33175958</v>
      </c>
      <c r="C8" s="74">
        <f>35006513-C9</f>
        <v>33175958</v>
      </c>
      <c r="D8" s="74">
        <f>49332713-D9</f>
        <v>47853538</v>
      </c>
      <c r="E8" s="74">
        <f aca="true" t="shared" si="0" ref="E8:E24">D8-C8</f>
        <v>14677580</v>
      </c>
      <c r="F8" s="75">
        <f>E8/C8</f>
        <v>0.4424161617277186</v>
      </c>
    </row>
    <row r="9" spans="1:6" ht="91.5">
      <c r="A9" s="76" t="s">
        <v>60</v>
      </c>
      <c r="B9" s="74">
        <f>B10+B11</f>
        <v>1830555</v>
      </c>
      <c r="C9" s="74">
        <f>C10+C11</f>
        <v>1830555</v>
      </c>
      <c r="D9" s="74">
        <f>D10+D11</f>
        <v>1479175</v>
      </c>
      <c r="E9" s="74">
        <f t="shared" si="0"/>
        <v>-351380</v>
      </c>
      <c r="F9" s="75">
        <f>E9/C9</f>
        <v>-0.1919527137944503</v>
      </c>
    </row>
    <row r="10" spans="1:6" ht="91.5">
      <c r="A10" s="77" t="s">
        <v>61</v>
      </c>
      <c r="B10" s="78">
        <v>428066</v>
      </c>
      <c r="C10" s="78">
        <v>428066</v>
      </c>
      <c r="D10" s="78">
        <v>0</v>
      </c>
      <c r="E10" s="78">
        <f t="shared" si="0"/>
        <v>-428066</v>
      </c>
      <c r="F10" s="79">
        <f>E10/C10</f>
        <v>-1</v>
      </c>
    </row>
    <row r="11" spans="1:6" ht="91.5">
      <c r="A11" s="80" t="s">
        <v>62</v>
      </c>
      <c r="B11" s="78">
        <v>1402489</v>
      </c>
      <c r="C11" s="78">
        <v>1402489</v>
      </c>
      <c r="D11" s="78">
        <v>1479175</v>
      </c>
      <c r="E11" s="78">
        <f t="shared" si="0"/>
        <v>76686</v>
      </c>
      <c r="F11" s="79">
        <f>E11/C11</f>
        <v>0.05467850371731971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v>0</v>
      </c>
    </row>
    <row r="14" spans="1:6" ht="91.5">
      <c r="A14" s="80" t="s">
        <v>100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v>0</v>
      </c>
    </row>
    <row r="19" spans="1:6" ht="91.5">
      <c r="A19" s="80" t="s">
        <v>96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v>0</v>
      </c>
    </row>
    <row r="20" spans="1:6" ht="91.5">
      <c r="A20" s="80" t="s">
        <v>68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v>0</v>
      </c>
    </row>
    <row r="21" spans="1:6" ht="91.5">
      <c r="A21" s="80" t="s">
        <v>69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v>1</v>
      </c>
    </row>
    <row r="22" spans="1:6" ht="91.5">
      <c r="A22" s="81" t="s">
        <v>70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v>0</v>
      </c>
    </row>
    <row r="23" spans="1:6" ht="91.5">
      <c r="A23" s="130" t="s">
        <v>71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157">
        <v>0</v>
      </c>
    </row>
    <row r="24" spans="1:6" ht="91.5">
      <c r="A24" s="158" t="s">
        <v>50</v>
      </c>
      <c r="B24" s="156">
        <f>B25</f>
        <v>0</v>
      </c>
      <c r="C24" s="74">
        <f>C25</f>
        <v>0</v>
      </c>
      <c r="D24" s="74">
        <f>D25</f>
        <v>0</v>
      </c>
      <c r="E24" s="74">
        <f t="shared" si="0"/>
        <v>0</v>
      </c>
      <c r="F24" s="75"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v>0</v>
      </c>
      <c r="F25" s="79">
        <v>0</v>
      </c>
    </row>
    <row r="26" spans="1:6" ht="91.5">
      <c r="A26" s="76" t="s">
        <v>52</v>
      </c>
      <c r="B26" s="83">
        <f>B27</f>
        <v>0</v>
      </c>
      <c r="C26" s="83">
        <f>C27</f>
        <v>0</v>
      </c>
      <c r="D26" s="83">
        <f>D27</f>
        <v>0</v>
      </c>
      <c r="E26" s="83">
        <f>D26-C26</f>
        <v>0</v>
      </c>
      <c r="F26" s="75"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v>0</v>
      </c>
      <c r="F27" s="79"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v>0</v>
      </c>
    </row>
    <row r="29" spans="1:6" s="126" customFormat="1" ht="90">
      <c r="A29" s="148" t="s">
        <v>14</v>
      </c>
      <c r="B29" s="74">
        <f>B28+B27+B25+B9+B8</f>
        <v>35006513</v>
      </c>
      <c r="C29" s="74">
        <f>C28+C27+C25+C9+C8</f>
        <v>35006513</v>
      </c>
      <c r="D29" s="74">
        <f>D28+D27+D25+D9+D8</f>
        <v>49332713</v>
      </c>
      <c r="E29" s="74">
        <f>E28+E27+E25+E9+E8</f>
        <v>14326200</v>
      </c>
      <c r="F29" s="75">
        <f>E29/C29</f>
        <v>0.4092438455666807</v>
      </c>
    </row>
    <row r="30" spans="1:6" ht="91.5">
      <c r="A30" s="77"/>
      <c r="B30" s="88"/>
      <c r="C30" s="88"/>
      <c r="D30" s="88"/>
      <c r="E30" s="88"/>
      <c r="F30" s="145"/>
    </row>
    <row r="31" spans="1:6" ht="91.5">
      <c r="A31" s="131" t="s">
        <v>78</v>
      </c>
      <c r="B31" s="120">
        <v>0</v>
      </c>
      <c r="C31" s="120">
        <v>0</v>
      </c>
      <c r="D31" s="120">
        <v>0</v>
      </c>
      <c r="E31" s="120">
        <f>D31-C31</f>
        <v>0</v>
      </c>
      <c r="F31" s="132">
        <v>0</v>
      </c>
    </row>
    <row r="32" spans="1:6" ht="91.5">
      <c r="A32" s="133" t="s">
        <v>0</v>
      </c>
      <c r="B32" s="134"/>
      <c r="C32" s="134"/>
      <c r="D32" s="134"/>
      <c r="E32" s="134"/>
      <c r="F32" s="135"/>
    </row>
    <row r="33" spans="1:6" ht="91.5">
      <c r="A33" s="131" t="s">
        <v>15</v>
      </c>
      <c r="B33" s="120">
        <v>63858</v>
      </c>
      <c r="C33" s="120">
        <v>54500</v>
      </c>
      <c r="D33" s="120">
        <v>67091</v>
      </c>
      <c r="E33" s="120">
        <f>D33-C33</f>
        <v>12591</v>
      </c>
      <c r="F33" s="136">
        <f>E33/C33</f>
        <v>0.23102752293577983</v>
      </c>
    </row>
    <row r="34" spans="1:6" ht="91.5">
      <c r="A34" s="133" t="s">
        <v>0</v>
      </c>
      <c r="B34" s="134"/>
      <c r="C34" s="134"/>
      <c r="D34" s="134"/>
      <c r="E34" s="134"/>
      <c r="F34" s="135"/>
    </row>
    <row r="35" spans="1:6" ht="91.5">
      <c r="A35" s="128" t="s">
        <v>56</v>
      </c>
      <c r="B35" s="74">
        <v>29517358</v>
      </c>
      <c r="C35" s="74">
        <v>31189083</v>
      </c>
      <c r="D35" s="74">
        <v>30184150</v>
      </c>
      <c r="E35" s="74">
        <f>D35-C35</f>
        <v>-1004933</v>
      </c>
      <c r="F35" s="75">
        <f>E35/C35</f>
        <v>-0.03222066516030625</v>
      </c>
    </row>
    <row r="36" spans="1:6" ht="91.5">
      <c r="A36" s="76" t="s">
        <v>0</v>
      </c>
      <c r="B36" s="86"/>
      <c r="C36" s="86"/>
      <c r="D36" s="86"/>
      <c r="E36" s="86"/>
      <c r="F36" s="87"/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v>0</v>
      </c>
    </row>
    <row r="38" spans="1:6" ht="91.5">
      <c r="A38" s="133"/>
      <c r="B38" s="134"/>
      <c r="C38" s="134"/>
      <c r="D38" s="134"/>
      <c r="E38" s="134"/>
      <c r="F38" s="135"/>
    </row>
    <row r="39" spans="1:6" ht="91.5">
      <c r="A39" s="131" t="s">
        <v>17</v>
      </c>
      <c r="B39" s="120">
        <f>B37+B35+B33+B29</f>
        <v>64587729</v>
      </c>
      <c r="C39" s="120">
        <f>C37+C35+C33+C29</f>
        <v>66250096</v>
      </c>
      <c r="D39" s="120">
        <f>D37+D35+D33+D29</f>
        <v>79583954</v>
      </c>
      <c r="E39" s="120">
        <f>D39-C39</f>
        <v>13333858</v>
      </c>
      <c r="F39" s="136">
        <f>E39/C39</f>
        <v>0.20126548948698883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28834805</v>
      </c>
      <c r="C41" s="138">
        <v>28844970</v>
      </c>
      <c r="D41" s="138">
        <v>36303011</v>
      </c>
      <c r="E41" s="138">
        <f aca="true" t="shared" si="1" ref="E41:E49">D41-C41</f>
        <v>7458041</v>
      </c>
      <c r="F41" s="139">
        <f aca="true" t="shared" si="2" ref="F41:F49">E41/C41</f>
        <v>0.25855603247290604</v>
      </c>
    </row>
    <row r="42" spans="1:6" ht="91.5">
      <c r="A42" s="77" t="s">
        <v>20</v>
      </c>
      <c r="B42" s="78">
        <v>1013324</v>
      </c>
      <c r="C42" s="78">
        <v>973665</v>
      </c>
      <c r="D42" s="78">
        <v>1131376</v>
      </c>
      <c r="E42" s="78">
        <f t="shared" si="1"/>
        <v>157711</v>
      </c>
      <c r="F42" s="92">
        <f t="shared" si="2"/>
        <v>0.1619766552150894</v>
      </c>
    </row>
    <row r="43" spans="1:6" ht="91.5">
      <c r="A43" s="80" t="s">
        <v>21</v>
      </c>
      <c r="B43" s="78">
        <v>176544</v>
      </c>
      <c r="C43" s="78">
        <v>235081</v>
      </c>
      <c r="D43" s="78">
        <v>446539</v>
      </c>
      <c r="E43" s="78">
        <f t="shared" si="1"/>
        <v>211458</v>
      </c>
      <c r="F43" s="90">
        <f t="shared" si="2"/>
        <v>0.8995112322986545</v>
      </c>
    </row>
    <row r="44" spans="1:6" ht="91.5">
      <c r="A44" s="80" t="s">
        <v>49</v>
      </c>
      <c r="B44" s="78">
        <v>4866287</v>
      </c>
      <c r="C44" s="78">
        <v>5766951</v>
      </c>
      <c r="D44" s="78">
        <v>7417677</v>
      </c>
      <c r="E44" s="78">
        <f t="shared" si="1"/>
        <v>1650726</v>
      </c>
      <c r="F44" s="90">
        <f t="shared" si="2"/>
        <v>0.28623895018355455</v>
      </c>
    </row>
    <row r="45" spans="1:6" ht="91.5">
      <c r="A45" s="80" t="s">
        <v>22</v>
      </c>
      <c r="B45" s="78">
        <v>4671488</v>
      </c>
      <c r="C45" s="78">
        <v>4871955</v>
      </c>
      <c r="D45" s="78">
        <v>5551294</v>
      </c>
      <c r="E45" s="78">
        <f t="shared" si="1"/>
        <v>679339</v>
      </c>
      <c r="F45" s="90">
        <f t="shared" si="2"/>
        <v>0.13943868529163345</v>
      </c>
    </row>
    <row r="46" spans="1:6" ht="91.5">
      <c r="A46" s="80" t="s">
        <v>23</v>
      </c>
      <c r="B46" s="78">
        <v>8722195</v>
      </c>
      <c r="C46" s="78">
        <v>9180224</v>
      </c>
      <c r="D46" s="78">
        <v>10918817</v>
      </c>
      <c r="E46" s="78">
        <f t="shared" si="1"/>
        <v>1738593</v>
      </c>
      <c r="F46" s="90">
        <f t="shared" si="2"/>
        <v>0.18938459453712675</v>
      </c>
    </row>
    <row r="47" spans="1:6" ht="91.5">
      <c r="A47" s="80" t="s">
        <v>24</v>
      </c>
      <c r="B47" s="78">
        <v>5005207</v>
      </c>
      <c r="C47" s="78">
        <v>5415171</v>
      </c>
      <c r="D47" s="78">
        <v>5438935</v>
      </c>
      <c r="E47" s="78">
        <f t="shared" si="1"/>
        <v>23764</v>
      </c>
      <c r="F47" s="90">
        <f t="shared" si="2"/>
        <v>0.004388411741752938</v>
      </c>
    </row>
    <row r="48" spans="1:6" ht="91.5">
      <c r="A48" s="80" t="s">
        <v>25</v>
      </c>
      <c r="B48" s="78">
        <v>6857794</v>
      </c>
      <c r="C48" s="78">
        <v>6532048</v>
      </c>
      <c r="D48" s="78">
        <v>8606151</v>
      </c>
      <c r="E48" s="78">
        <f t="shared" si="1"/>
        <v>2074103</v>
      </c>
      <c r="F48" s="90">
        <f t="shared" si="2"/>
        <v>0.3175272135171083</v>
      </c>
    </row>
    <row r="49" spans="1:6" ht="91.5">
      <c r="A49" s="76" t="s">
        <v>26</v>
      </c>
      <c r="B49" s="74">
        <f>SUM(B41:B48)</f>
        <v>60147644</v>
      </c>
      <c r="C49" s="74">
        <f>SUM(C41:C48)</f>
        <v>61820065</v>
      </c>
      <c r="D49" s="74">
        <f>SUM(D41:D48)</f>
        <v>75813800</v>
      </c>
      <c r="E49" s="74">
        <f t="shared" si="1"/>
        <v>13993735</v>
      </c>
      <c r="F49" s="87">
        <f t="shared" si="2"/>
        <v>0.22636234691762294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v>0</v>
      </c>
      <c r="F50" s="90"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v>0</v>
      </c>
      <c r="F51" s="90">
        <v>0</v>
      </c>
    </row>
    <row r="52" spans="1:6" ht="91.5">
      <c r="A52" s="80" t="s">
        <v>29</v>
      </c>
      <c r="B52" s="78">
        <v>2861835</v>
      </c>
      <c r="C52" s="78">
        <v>2861835</v>
      </c>
      <c r="D52" s="78">
        <v>3626523</v>
      </c>
      <c r="E52" s="78">
        <f>D52-C52</f>
        <v>764688</v>
      </c>
      <c r="F52" s="90">
        <f>E52/C52</f>
        <v>0.2672019875359691</v>
      </c>
    </row>
    <row r="53" spans="1:6" ht="91.5">
      <c r="A53" s="80" t="s">
        <v>30</v>
      </c>
      <c r="B53" s="78">
        <v>1578250</v>
      </c>
      <c r="C53" s="78">
        <v>1568196</v>
      </c>
      <c r="D53" s="78">
        <v>143631</v>
      </c>
      <c r="E53" s="78">
        <f>D53-C53</f>
        <v>-1424565</v>
      </c>
      <c r="F53" s="90">
        <f>E53/C53</f>
        <v>-0.9084100456830652</v>
      </c>
    </row>
    <row r="54" spans="1:6" ht="91.5">
      <c r="A54" s="76" t="s">
        <v>31</v>
      </c>
      <c r="B54" s="74">
        <f>B53+B52+B51+B50+B49</f>
        <v>64587729</v>
      </c>
      <c r="C54" s="74">
        <f>C53+C52+C51+C50+C49</f>
        <v>66250096</v>
      </c>
      <c r="D54" s="74">
        <f>D53+D52+D51+D50+D49</f>
        <v>79583954</v>
      </c>
      <c r="E54" s="74">
        <f>D54-C54</f>
        <v>13333858</v>
      </c>
      <c r="F54" s="87">
        <f>E54/C54</f>
        <v>0.20126548948698883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v>33538105</v>
      </c>
      <c r="C56" s="138">
        <v>33574328</v>
      </c>
      <c r="D56" s="138">
        <v>41474055</v>
      </c>
      <c r="E56" s="138">
        <f aca="true" t="shared" si="3" ref="E56:E66">D56-C56</f>
        <v>7899727</v>
      </c>
      <c r="F56" s="139">
        <f aca="true" t="shared" si="4" ref="F56:F65">E56/C56</f>
        <v>0.23529069591504556</v>
      </c>
    </row>
    <row r="57" spans="1:6" ht="91.5">
      <c r="A57" s="77" t="s">
        <v>34</v>
      </c>
      <c r="B57" s="78">
        <v>669419</v>
      </c>
      <c r="C57" s="78">
        <v>644490</v>
      </c>
      <c r="D57" s="78">
        <v>649571</v>
      </c>
      <c r="E57" s="78">
        <f t="shared" si="3"/>
        <v>5081</v>
      </c>
      <c r="F57" s="92">
        <f t="shared" si="4"/>
        <v>0.007883753045043367</v>
      </c>
    </row>
    <row r="58" spans="1:6" ht="91.5">
      <c r="A58" s="80" t="s">
        <v>35</v>
      </c>
      <c r="B58" s="78">
        <v>9795638</v>
      </c>
      <c r="C58" s="78">
        <v>9899746</v>
      </c>
      <c r="D58" s="78">
        <v>12842660</v>
      </c>
      <c r="E58" s="78">
        <f t="shared" si="3"/>
        <v>2942914</v>
      </c>
      <c r="F58" s="90">
        <f t="shared" si="4"/>
        <v>0.2972716673740922</v>
      </c>
    </row>
    <row r="59" spans="1:6" s="126" customFormat="1" ht="90">
      <c r="A59" s="76" t="s">
        <v>36</v>
      </c>
      <c r="B59" s="74">
        <f>SUM(B56:B58)</f>
        <v>44003162</v>
      </c>
      <c r="C59" s="74">
        <f>SUM(C56:C58)</f>
        <v>44118564</v>
      </c>
      <c r="D59" s="74">
        <f>SUM(D56:D58)</f>
        <v>54966286</v>
      </c>
      <c r="E59" s="74">
        <f t="shared" si="3"/>
        <v>10847722</v>
      </c>
      <c r="F59" s="87">
        <f t="shared" si="4"/>
        <v>0.24587658836765403</v>
      </c>
    </row>
    <row r="60" spans="1:6" ht="91.5">
      <c r="A60" s="142" t="s">
        <v>37</v>
      </c>
      <c r="B60" s="141">
        <v>513591</v>
      </c>
      <c r="C60" s="141">
        <v>722297</v>
      </c>
      <c r="D60" s="141">
        <v>715919</v>
      </c>
      <c r="E60" s="141">
        <f t="shared" si="3"/>
        <v>-6378</v>
      </c>
      <c r="F60" s="143">
        <f t="shared" si="4"/>
        <v>-0.008830162661619805</v>
      </c>
    </row>
    <row r="61" spans="1:6" ht="91.5">
      <c r="A61" s="77" t="s">
        <v>38</v>
      </c>
      <c r="B61" s="78">
        <v>6391609</v>
      </c>
      <c r="C61" s="78">
        <v>6857836</v>
      </c>
      <c r="D61" s="78">
        <v>8279315</v>
      </c>
      <c r="E61" s="78">
        <f t="shared" si="3"/>
        <v>1421479</v>
      </c>
      <c r="F61" s="92">
        <f t="shared" si="4"/>
        <v>0.20727806847524496</v>
      </c>
    </row>
    <row r="62" spans="1:6" ht="91.5">
      <c r="A62" s="80" t="s">
        <v>39</v>
      </c>
      <c r="B62" s="78">
        <v>950893</v>
      </c>
      <c r="C62" s="78">
        <v>1074836</v>
      </c>
      <c r="D62" s="78">
        <v>1501082</v>
      </c>
      <c r="E62" s="78">
        <f t="shared" si="3"/>
        <v>426246</v>
      </c>
      <c r="F62" s="90">
        <f t="shared" si="4"/>
        <v>0.39656840671507093</v>
      </c>
    </row>
    <row r="63" spans="1:6" s="126" customFormat="1" ht="90">
      <c r="A63" s="76" t="s">
        <v>40</v>
      </c>
      <c r="B63" s="74">
        <f>SUM(B60:B62)</f>
        <v>7856093</v>
      </c>
      <c r="C63" s="74">
        <f>SUM(C60:C62)</f>
        <v>8654969</v>
      </c>
      <c r="D63" s="74">
        <f>SUM(D60:D62)</f>
        <v>10496316</v>
      </c>
      <c r="E63" s="74">
        <f t="shared" si="3"/>
        <v>1841347</v>
      </c>
      <c r="F63" s="87">
        <f t="shared" si="4"/>
        <v>0.2127502709715078</v>
      </c>
    </row>
    <row r="64" spans="1:6" ht="91.5">
      <c r="A64" s="81" t="s">
        <v>41</v>
      </c>
      <c r="B64" s="129">
        <v>445089</v>
      </c>
      <c r="C64" s="129">
        <v>538531</v>
      </c>
      <c r="D64" s="129">
        <v>396190</v>
      </c>
      <c r="E64" s="129">
        <f t="shared" si="3"/>
        <v>-142341</v>
      </c>
      <c r="F64" s="144">
        <f t="shared" si="4"/>
        <v>-0.26431347499029767</v>
      </c>
    </row>
    <row r="65" spans="1:6" ht="91.5">
      <c r="A65" s="77" t="s">
        <v>42</v>
      </c>
      <c r="B65" s="78">
        <v>10818180</v>
      </c>
      <c r="C65" s="78">
        <v>11403812</v>
      </c>
      <c r="D65" s="78">
        <v>10708715</v>
      </c>
      <c r="E65" s="78">
        <f t="shared" si="3"/>
        <v>-695097</v>
      </c>
      <c r="F65" s="92">
        <f t="shared" si="4"/>
        <v>-0.060953039211800404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3"/>
        <v>0</v>
      </c>
      <c r="F66" s="90">
        <v>0</v>
      </c>
    </row>
    <row r="67" spans="1:6" ht="91.5">
      <c r="A67" s="80" t="s">
        <v>44</v>
      </c>
      <c r="B67" s="78">
        <v>0</v>
      </c>
      <c r="C67" s="78">
        <v>0</v>
      </c>
      <c r="D67" s="78">
        <v>0</v>
      </c>
      <c r="E67" s="78">
        <v>0</v>
      </c>
      <c r="F67" s="90">
        <v>0</v>
      </c>
    </row>
    <row r="68" spans="1:6" s="126" customFormat="1" ht="90">
      <c r="A68" s="76" t="s">
        <v>45</v>
      </c>
      <c r="B68" s="74">
        <f>SUM(B64:B67)</f>
        <v>11263269</v>
      </c>
      <c r="C68" s="74">
        <f>SUM(C64:C67)</f>
        <v>11942343</v>
      </c>
      <c r="D68" s="74">
        <f>SUM(D64:D67)</f>
        <v>11104905</v>
      </c>
      <c r="E68" s="74">
        <f aca="true" t="shared" si="5" ref="E68:E73">D68-C68</f>
        <v>-837438</v>
      </c>
      <c r="F68" s="87">
        <f aca="true" t="shared" si="6" ref="F68:F73">E68/C68</f>
        <v>-0.07012342552880954</v>
      </c>
    </row>
    <row r="69" spans="1:6" ht="91.5">
      <c r="A69" s="81" t="s">
        <v>57</v>
      </c>
      <c r="B69" s="129">
        <v>1023546</v>
      </c>
      <c r="C69" s="129">
        <v>895391</v>
      </c>
      <c r="D69" s="129">
        <v>2140582</v>
      </c>
      <c r="E69" s="129">
        <f t="shared" si="5"/>
        <v>1245191</v>
      </c>
      <c r="F69" s="144">
        <f t="shared" si="6"/>
        <v>1.3906673174065856</v>
      </c>
    </row>
    <row r="70" spans="1:6" ht="91.5">
      <c r="A70" s="77" t="s">
        <v>46</v>
      </c>
      <c r="B70" s="78">
        <v>293106</v>
      </c>
      <c r="C70" s="78">
        <v>572465</v>
      </c>
      <c r="D70" s="78">
        <v>875865</v>
      </c>
      <c r="E70" s="78">
        <f t="shared" si="5"/>
        <v>303400</v>
      </c>
      <c r="F70" s="92">
        <f t="shared" si="6"/>
        <v>0.529988732935638</v>
      </c>
    </row>
    <row r="71" spans="1:6" ht="91.5">
      <c r="A71" s="80" t="s">
        <v>47</v>
      </c>
      <c r="B71" s="78">
        <v>148553</v>
      </c>
      <c r="C71" s="78">
        <v>66364</v>
      </c>
      <c r="D71" s="78">
        <v>0</v>
      </c>
      <c r="E71" s="78">
        <f t="shared" si="5"/>
        <v>-66364</v>
      </c>
      <c r="F71" s="90">
        <f t="shared" si="6"/>
        <v>-1</v>
      </c>
    </row>
    <row r="72" spans="1:6" s="126" customFormat="1" ht="90">
      <c r="A72" s="99" t="s">
        <v>48</v>
      </c>
      <c r="B72" s="74">
        <f>SUM(B69:B71)</f>
        <v>1465205</v>
      </c>
      <c r="C72" s="74">
        <f>SUM(C69:C71)</f>
        <v>1534220</v>
      </c>
      <c r="D72" s="74">
        <f>SUM(D69:D71)</f>
        <v>3016447</v>
      </c>
      <c r="E72" s="74">
        <f t="shared" si="5"/>
        <v>1482227</v>
      </c>
      <c r="F72" s="87">
        <f t="shared" si="6"/>
        <v>0.9661111183533001</v>
      </c>
    </row>
    <row r="73" spans="1:6" ht="92.25" thickBot="1">
      <c r="A73" s="151" t="s">
        <v>31</v>
      </c>
      <c r="B73" s="152">
        <f>B72+B68+B63+B59</f>
        <v>64587729</v>
      </c>
      <c r="C73" s="152">
        <f>C72+C68+C63+C59</f>
        <v>66250096</v>
      </c>
      <c r="D73" s="152">
        <f>D72+D68+D63+D59</f>
        <v>79583954</v>
      </c>
      <c r="E73" s="152">
        <f t="shared" si="5"/>
        <v>13333858</v>
      </c>
      <c r="F73" s="153">
        <f t="shared" si="6"/>
        <v>0.20126548948698883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.5" footer="0"/>
  <pageSetup fitToHeight="1" fitToWidth="1" horizontalDpi="600" verticalDpi="600" orientation="portrait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B1">
      <selection activeCell="E3" sqref="E3"/>
    </sheetView>
  </sheetViews>
  <sheetFormatPr defaultColWidth="8.88671875" defaultRowHeight="15"/>
  <cols>
    <col min="1" max="1" width="255.4453125" style="56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167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2805150</v>
      </c>
      <c r="C8" s="74">
        <v>2805150</v>
      </c>
      <c r="D8" s="74">
        <f>2653702+218040</f>
        <v>2871742</v>
      </c>
      <c r="E8" s="74">
        <f>D8-C8</f>
        <v>66592</v>
      </c>
      <c r="F8" s="75">
        <f>E8/C8</f>
        <v>0.02373919398249648</v>
      </c>
    </row>
    <row r="9" spans="1:6" ht="91.5">
      <c r="A9" s="76" t="s">
        <v>60</v>
      </c>
      <c r="B9" s="74">
        <f>SUM(B10:B23)</f>
        <v>0</v>
      </c>
      <c r="C9" s="74">
        <f>SUM(C10:C23)</f>
        <v>0</v>
      </c>
      <c r="D9" s="74">
        <f>SUM(D10:D23)</f>
        <v>0</v>
      </c>
      <c r="E9" s="74">
        <f>D9-C9</f>
        <v>0</v>
      </c>
      <c r="F9" s="75">
        <v>0</v>
      </c>
    </row>
    <row r="10" spans="1:6" ht="91.5">
      <c r="A10" s="77" t="s">
        <v>61</v>
      </c>
      <c r="B10" s="78">
        <v>0</v>
      </c>
      <c r="C10" s="78">
        <v>0</v>
      </c>
      <c r="D10" s="78">
        <v>0</v>
      </c>
      <c r="E10" s="78">
        <f>D10-C10</f>
        <v>0</v>
      </c>
      <c r="F10" s="79">
        <v>0</v>
      </c>
    </row>
    <row r="11" spans="1:6" ht="91.5">
      <c r="A11" s="80" t="s">
        <v>62</v>
      </c>
      <c r="B11" s="78">
        <v>0</v>
      </c>
      <c r="C11" s="78">
        <v>0</v>
      </c>
      <c r="D11" s="78">
        <v>0</v>
      </c>
      <c r="E11" s="78">
        <v>0</v>
      </c>
      <c r="F11" s="79">
        <v>0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v>0</v>
      </c>
      <c r="F12" s="79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v>0</v>
      </c>
      <c r="F13" s="79"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v>0</v>
      </c>
      <c r="F14" s="79">
        <v>0</v>
      </c>
    </row>
    <row r="15" spans="1:6" ht="91.5">
      <c r="A15" s="80" t="s">
        <v>137</v>
      </c>
      <c r="B15" s="78">
        <v>0</v>
      </c>
      <c r="C15" s="78">
        <v>0</v>
      </c>
      <c r="D15" s="78">
        <v>0</v>
      </c>
      <c r="E15" s="78">
        <v>0</v>
      </c>
      <c r="F15" s="79"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v>0</v>
      </c>
      <c r="F16" s="79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v>0</v>
      </c>
      <c r="F17" s="79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v>0</v>
      </c>
      <c r="F18" s="79">
        <v>0</v>
      </c>
    </row>
    <row r="19" spans="1:6" ht="91.5">
      <c r="A19" s="80" t="s">
        <v>96</v>
      </c>
      <c r="B19" s="78">
        <v>0</v>
      </c>
      <c r="C19" s="78">
        <v>0</v>
      </c>
      <c r="D19" s="78">
        <v>0</v>
      </c>
      <c r="E19" s="78">
        <f>D19-C19</f>
        <v>0</v>
      </c>
      <c r="F19" s="79">
        <v>0</v>
      </c>
    </row>
    <row r="20" spans="1:6" ht="91.5">
      <c r="A20" s="80" t="s">
        <v>68</v>
      </c>
      <c r="B20" s="78">
        <v>0</v>
      </c>
      <c r="C20" s="78">
        <v>0</v>
      </c>
      <c r="D20" s="78">
        <v>0</v>
      </c>
      <c r="E20" s="78">
        <v>0</v>
      </c>
      <c r="F20" s="79">
        <v>0</v>
      </c>
    </row>
    <row r="21" spans="1:6" ht="91.5">
      <c r="A21" s="80" t="s">
        <v>69</v>
      </c>
      <c r="B21" s="78">
        <v>0</v>
      </c>
      <c r="C21" s="78">
        <v>0</v>
      </c>
      <c r="D21" s="78">
        <v>0</v>
      </c>
      <c r="E21" s="78">
        <f>D21-C21</f>
        <v>0</v>
      </c>
      <c r="F21" s="79">
        <v>1</v>
      </c>
    </row>
    <row r="22" spans="1:6" ht="91.5">
      <c r="A22" s="81" t="s">
        <v>70</v>
      </c>
      <c r="B22" s="78">
        <v>0</v>
      </c>
      <c r="C22" s="78">
        <v>0</v>
      </c>
      <c r="D22" s="78">
        <v>0</v>
      </c>
      <c r="E22" s="78">
        <v>0</v>
      </c>
      <c r="F22" s="79">
        <v>0</v>
      </c>
    </row>
    <row r="23" spans="1:6" ht="91.5">
      <c r="A23" s="130" t="s">
        <v>71</v>
      </c>
      <c r="B23" s="129">
        <v>0</v>
      </c>
      <c r="C23" s="129">
        <v>0</v>
      </c>
      <c r="D23" s="129">
        <v>0</v>
      </c>
      <c r="E23" s="129">
        <v>0</v>
      </c>
      <c r="F23" s="157">
        <v>0</v>
      </c>
    </row>
    <row r="24" spans="1:6" ht="91.5">
      <c r="A24" s="158" t="s">
        <v>50</v>
      </c>
      <c r="B24" s="156">
        <v>0</v>
      </c>
      <c r="C24" s="74">
        <v>0</v>
      </c>
      <c r="D24" s="74">
        <v>0</v>
      </c>
      <c r="E24" s="74">
        <v>0</v>
      </c>
      <c r="F24" s="75"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v>0</v>
      </c>
      <c r="F25" s="79"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v>0</v>
      </c>
      <c r="F26" s="75"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v>0</v>
      </c>
      <c r="F27" s="79"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v>0</v>
      </c>
      <c r="F28" s="79">
        <v>0</v>
      </c>
    </row>
    <row r="29" spans="1:6" s="126" customFormat="1" ht="90">
      <c r="A29" s="148" t="s">
        <v>14</v>
      </c>
      <c r="B29" s="74">
        <f>B9+B8</f>
        <v>2805150</v>
      </c>
      <c r="C29" s="74">
        <f>C9+C8</f>
        <v>2805150</v>
      </c>
      <c r="D29" s="74">
        <f>D9+D8</f>
        <v>2871742</v>
      </c>
      <c r="E29" s="74">
        <f>D29-C29</f>
        <v>66592</v>
      </c>
      <c r="F29" s="75">
        <f>E29/C29</f>
        <v>0.02373919398249648</v>
      </c>
    </row>
    <row r="30" spans="1:6" ht="91.5">
      <c r="A30" s="77"/>
      <c r="B30" s="88"/>
      <c r="C30" s="88"/>
      <c r="D30" s="88"/>
      <c r="E30" s="88"/>
      <c r="F30" s="145"/>
    </row>
    <row r="31" spans="1:6" ht="91.5">
      <c r="A31" s="131" t="s">
        <v>78</v>
      </c>
      <c r="B31" s="120">
        <v>0</v>
      </c>
      <c r="C31" s="120">
        <v>0</v>
      </c>
      <c r="D31" s="120">
        <v>0</v>
      </c>
      <c r="E31" s="120">
        <v>0</v>
      </c>
      <c r="F31" s="132">
        <v>0</v>
      </c>
    </row>
    <row r="32" spans="1:6" ht="91.5">
      <c r="A32" s="133" t="s">
        <v>0</v>
      </c>
      <c r="B32" s="134"/>
      <c r="C32" s="134"/>
      <c r="D32" s="134"/>
      <c r="E32" s="134"/>
      <c r="F32" s="135"/>
    </row>
    <row r="33" spans="1:6" ht="91.5">
      <c r="A33" s="131" t="s">
        <v>15</v>
      </c>
      <c r="B33" s="120">
        <v>36000</v>
      </c>
      <c r="C33" s="120">
        <v>36000</v>
      </c>
      <c r="D33" s="120">
        <v>36000</v>
      </c>
      <c r="E33" s="120">
        <f>D33-C33</f>
        <v>0</v>
      </c>
      <c r="F33" s="136">
        <f>E33/C33</f>
        <v>0</v>
      </c>
    </row>
    <row r="34" spans="1:6" ht="91.5">
      <c r="A34" s="133" t="s">
        <v>0</v>
      </c>
      <c r="B34" s="134"/>
      <c r="C34" s="134"/>
      <c r="D34" s="134"/>
      <c r="E34" s="134"/>
      <c r="F34" s="135"/>
    </row>
    <row r="35" spans="1:6" ht="91.5">
      <c r="A35" s="128" t="s">
        <v>56</v>
      </c>
      <c r="B35" s="74">
        <v>520000</v>
      </c>
      <c r="C35" s="74">
        <v>520000</v>
      </c>
      <c r="D35" s="74">
        <v>800000</v>
      </c>
      <c r="E35" s="74">
        <f>D35-C35</f>
        <v>280000</v>
      </c>
      <c r="F35" s="75">
        <f>E35/C35</f>
        <v>0.5384615384615384</v>
      </c>
    </row>
    <row r="36" spans="1:6" ht="91.5">
      <c r="A36" s="76" t="s">
        <v>0</v>
      </c>
      <c r="B36" s="86"/>
      <c r="C36" s="86"/>
      <c r="D36" s="86"/>
      <c r="E36" s="86"/>
      <c r="F36" s="87"/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v>0</v>
      </c>
    </row>
    <row r="38" spans="1:6" ht="91.5">
      <c r="A38" s="133"/>
      <c r="B38" s="134"/>
      <c r="C38" s="134"/>
      <c r="D38" s="134"/>
      <c r="E38" s="134"/>
      <c r="F38" s="135"/>
    </row>
    <row r="39" spans="1:6" ht="91.5">
      <c r="A39" s="131" t="s">
        <v>17</v>
      </c>
      <c r="B39" s="120">
        <f>B37+B35+B33+B29</f>
        <v>3361150</v>
      </c>
      <c r="C39" s="120">
        <f>C37+C35+C33+C29</f>
        <v>3361150</v>
      </c>
      <c r="D39" s="120">
        <f>D37+D35+D33+D29</f>
        <v>3707742</v>
      </c>
      <c r="E39" s="120">
        <f>D39-C39</f>
        <v>346592</v>
      </c>
      <c r="F39" s="136">
        <f>E39/C39</f>
        <v>0.1031170879014623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0</v>
      </c>
      <c r="C41" s="138">
        <v>0</v>
      </c>
      <c r="D41" s="138">
        <v>0</v>
      </c>
      <c r="E41" s="138">
        <v>0</v>
      </c>
      <c r="F41" s="139">
        <v>0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v>0</v>
      </c>
      <c r="F42" s="92"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v>0</v>
      </c>
      <c r="F43" s="90">
        <v>0</v>
      </c>
    </row>
    <row r="44" spans="1:6" ht="91.5">
      <c r="A44" s="80" t="s">
        <v>49</v>
      </c>
      <c r="B44" s="78">
        <v>0</v>
      </c>
      <c r="C44" s="78">
        <v>0</v>
      </c>
      <c r="D44" s="78">
        <v>0</v>
      </c>
      <c r="E44" s="78">
        <v>0</v>
      </c>
      <c r="F44" s="90">
        <v>0</v>
      </c>
    </row>
    <row r="45" spans="1:6" ht="91.5">
      <c r="A45" s="80" t="s">
        <v>22</v>
      </c>
      <c r="B45" s="78">
        <v>0</v>
      </c>
      <c r="C45" s="78">
        <v>0</v>
      </c>
      <c r="D45" s="78">
        <v>0</v>
      </c>
      <c r="E45" s="78">
        <v>0</v>
      </c>
      <c r="F45" s="90"/>
    </row>
    <row r="46" spans="1:6" ht="91.5">
      <c r="A46" s="80" t="s">
        <v>23</v>
      </c>
      <c r="B46" s="78">
        <v>3361150</v>
      </c>
      <c r="C46" s="78">
        <v>3361150</v>
      </c>
      <c r="D46" s="78">
        <v>3707742</v>
      </c>
      <c r="E46" s="78">
        <f>D46-C46</f>
        <v>346592</v>
      </c>
      <c r="F46" s="90">
        <f>E46/C46</f>
        <v>0.1031170879014623</v>
      </c>
    </row>
    <row r="47" spans="1:6" ht="91.5">
      <c r="A47" s="80" t="s">
        <v>24</v>
      </c>
      <c r="B47" s="78">
        <v>0</v>
      </c>
      <c r="C47" s="78">
        <v>0</v>
      </c>
      <c r="D47" s="78">
        <v>0</v>
      </c>
      <c r="E47" s="78">
        <v>0</v>
      </c>
      <c r="F47" s="90">
        <v>0</v>
      </c>
    </row>
    <row r="48" spans="1:6" ht="91.5">
      <c r="A48" s="80" t="s">
        <v>25</v>
      </c>
      <c r="B48" s="78">
        <v>0</v>
      </c>
      <c r="C48" s="78">
        <v>0</v>
      </c>
      <c r="D48" s="78">
        <v>0</v>
      </c>
      <c r="E48" s="78">
        <v>0</v>
      </c>
      <c r="F48" s="90">
        <v>0</v>
      </c>
    </row>
    <row r="49" spans="1:6" ht="91.5">
      <c r="A49" s="76" t="s">
        <v>26</v>
      </c>
      <c r="B49" s="74">
        <f>SUM(B41:B48)</f>
        <v>3361150</v>
      </c>
      <c r="C49" s="74">
        <f>SUM(C41:C48)</f>
        <v>3361150</v>
      </c>
      <c r="D49" s="74">
        <f>SUM(D41:D48)</f>
        <v>3707742</v>
      </c>
      <c r="E49" s="74">
        <f>D49-C49</f>
        <v>346592</v>
      </c>
      <c r="F49" s="87">
        <f>E49/C49</f>
        <v>0.1031170879014623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v>0</v>
      </c>
      <c r="F50" s="90"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v>0</v>
      </c>
      <c r="F51" s="90">
        <v>0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v>0</v>
      </c>
      <c r="F52" s="90">
        <v>0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v>0</v>
      </c>
      <c r="F53" s="90">
        <v>0</v>
      </c>
    </row>
    <row r="54" spans="1:6" ht="91.5">
      <c r="A54" s="76" t="s">
        <v>31</v>
      </c>
      <c r="B54" s="74">
        <f>B53+B52+B51+B50+B49</f>
        <v>3361150</v>
      </c>
      <c r="C54" s="74">
        <f>C53+C52+C51+C50+C49</f>
        <v>3361150</v>
      </c>
      <c r="D54" s="74">
        <f>D53+D52+D51+D50+D49</f>
        <v>3707742</v>
      </c>
      <c r="E54" s="74">
        <f>D54-C54</f>
        <v>346592</v>
      </c>
      <c r="F54" s="87">
        <f>E54/C54</f>
        <v>0.1031170879014623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v>1718420</v>
      </c>
      <c r="C56" s="138">
        <v>1951797</v>
      </c>
      <c r="D56" s="138">
        <f>2234682+75000+53000</f>
        <v>2362682</v>
      </c>
      <c r="E56" s="138">
        <f aca="true" t="shared" si="0" ref="E56:E73">D56-C56</f>
        <v>410885</v>
      </c>
      <c r="F56" s="139">
        <f aca="true" t="shared" si="1" ref="F56:F64">E56/C56</f>
        <v>0.21051625758211534</v>
      </c>
    </row>
    <row r="57" spans="1:6" ht="91.5">
      <c r="A57" s="77" t="s">
        <v>34</v>
      </c>
      <c r="B57" s="78">
        <v>26993</v>
      </c>
      <c r="C57" s="78">
        <f>26993+38800</f>
        <v>65793</v>
      </c>
      <c r="D57" s="78">
        <f>54600+19200</f>
        <v>73800</v>
      </c>
      <c r="E57" s="78">
        <f t="shared" si="0"/>
        <v>8007</v>
      </c>
      <c r="F57" s="92">
        <f t="shared" si="1"/>
        <v>0.12169987688659888</v>
      </c>
    </row>
    <row r="58" spans="1:6" ht="91.5">
      <c r="A58" s="80" t="s">
        <v>35</v>
      </c>
      <c r="B58" s="78">
        <v>557232</v>
      </c>
      <c r="C58" s="78">
        <v>557232</v>
      </c>
      <c r="D58" s="78">
        <f>536324+35840</f>
        <v>572164</v>
      </c>
      <c r="E58" s="78">
        <f t="shared" si="0"/>
        <v>14932</v>
      </c>
      <c r="F58" s="90">
        <f t="shared" si="1"/>
        <v>0.026796738162919574</v>
      </c>
    </row>
    <row r="59" spans="1:6" s="126" customFormat="1" ht="90">
      <c r="A59" s="76" t="s">
        <v>36</v>
      </c>
      <c r="B59" s="74">
        <f>SUM(B56:B58)</f>
        <v>2302645</v>
      </c>
      <c r="C59" s="74">
        <f>SUM(C56:C58)</f>
        <v>2574822</v>
      </c>
      <c r="D59" s="74">
        <f>SUM(D56:D58)</f>
        <v>3008646</v>
      </c>
      <c r="E59" s="74">
        <f t="shared" si="0"/>
        <v>433824</v>
      </c>
      <c r="F59" s="87">
        <f t="shared" si="1"/>
        <v>0.16848698667325354</v>
      </c>
    </row>
    <row r="60" spans="1:6" ht="91.5">
      <c r="A60" s="142" t="s">
        <v>37</v>
      </c>
      <c r="B60" s="141">
        <v>69745</v>
      </c>
      <c r="C60" s="141">
        <v>69745</v>
      </c>
      <c r="D60" s="141">
        <v>32000</v>
      </c>
      <c r="E60" s="141">
        <f t="shared" si="0"/>
        <v>-37745</v>
      </c>
      <c r="F60" s="143">
        <f t="shared" si="1"/>
        <v>-0.5411857480822998</v>
      </c>
    </row>
    <row r="61" spans="1:6" ht="91.5">
      <c r="A61" s="77" t="s">
        <v>38</v>
      </c>
      <c r="B61" s="78">
        <v>94338</v>
      </c>
      <c r="C61" s="78">
        <v>94338</v>
      </c>
      <c r="D61" s="78">
        <v>62000</v>
      </c>
      <c r="E61" s="78">
        <f t="shared" si="0"/>
        <v>-32338</v>
      </c>
      <c r="F61" s="92">
        <f t="shared" si="1"/>
        <v>-0.3427886959655706</v>
      </c>
    </row>
    <row r="62" spans="1:6" ht="91.5">
      <c r="A62" s="80" t="s">
        <v>39</v>
      </c>
      <c r="B62" s="78">
        <v>25000</v>
      </c>
      <c r="C62" s="78">
        <v>25000</v>
      </c>
      <c r="D62" s="78">
        <v>10500</v>
      </c>
      <c r="E62" s="78">
        <f t="shared" si="0"/>
        <v>-14500</v>
      </c>
      <c r="F62" s="90">
        <f t="shared" si="1"/>
        <v>-0.58</v>
      </c>
    </row>
    <row r="63" spans="1:6" s="126" customFormat="1" ht="90">
      <c r="A63" s="76" t="s">
        <v>40</v>
      </c>
      <c r="B63" s="74">
        <f>SUM(B60:B62)</f>
        <v>189083</v>
      </c>
      <c r="C63" s="74">
        <f>SUM(C60:C62)</f>
        <v>189083</v>
      </c>
      <c r="D63" s="74">
        <f>SUM(D60:D62)</f>
        <v>104500</v>
      </c>
      <c r="E63" s="74">
        <f t="shared" si="0"/>
        <v>-84583</v>
      </c>
      <c r="F63" s="87">
        <f t="shared" si="1"/>
        <v>-0.44733265285615315</v>
      </c>
    </row>
    <row r="64" spans="1:6" ht="91.5">
      <c r="A64" s="81" t="s">
        <v>41</v>
      </c>
      <c r="B64" s="129">
        <v>356266</v>
      </c>
      <c r="C64" s="129">
        <f>356266-272177</f>
        <v>84089</v>
      </c>
      <c r="D64" s="129">
        <f>74114+15000</f>
        <v>89114</v>
      </c>
      <c r="E64" s="129">
        <f t="shared" si="0"/>
        <v>5025</v>
      </c>
      <c r="F64" s="144">
        <f t="shared" si="1"/>
        <v>0.059758113427439974</v>
      </c>
    </row>
    <row r="65" spans="1:6" ht="91.5">
      <c r="A65" s="77" t="s">
        <v>42</v>
      </c>
      <c r="B65" s="78">
        <v>4000</v>
      </c>
      <c r="C65" s="78">
        <v>4000</v>
      </c>
      <c r="D65" s="78">
        <v>10000</v>
      </c>
      <c r="E65" s="78">
        <f t="shared" si="0"/>
        <v>6000</v>
      </c>
      <c r="F65" s="92">
        <v>0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0"/>
        <v>0</v>
      </c>
      <c r="F66" s="90">
        <v>0</v>
      </c>
    </row>
    <row r="67" spans="1:6" ht="91.5">
      <c r="A67" s="80" t="s">
        <v>44</v>
      </c>
      <c r="B67" s="78">
        <v>434103</v>
      </c>
      <c r="C67" s="78">
        <v>434103</v>
      </c>
      <c r="D67" s="78">
        <v>460482</v>
      </c>
      <c r="E67" s="78">
        <f t="shared" si="0"/>
        <v>26379</v>
      </c>
      <c r="F67" s="90">
        <f>E67/C67</f>
        <v>0.06076668440439251</v>
      </c>
    </row>
    <row r="68" spans="1:6" s="126" customFormat="1" ht="90">
      <c r="A68" s="76" t="s">
        <v>45</v>
      </c>
      <c r="B68" s="74">
        <f>SUM(B64:B67)</f>
        <v>794369</v>
      </c>
      <c r="C68" s="74">
        <f>SUM(C64:C67)</f>
        <v>522192</v>
      </c>
      <c r="D68" s="74">
        <f>SUM(D64:D67)</f>
        <v>559596</v>
      </c>
      <c r="E68" s="74">
        <f t="shared" si="0"/>
        <v>37404</v>
      </c>
      <c r="F68" s="87">
        <f>E68/C68</f>
        <v>0.07162882617887674</v>
      </c>
    </row>
    <row r="69" spans="1:6" ht="91.5">
      <c r="A69" s="81" t="s">
        <v>57</v>
      </c>
      <c r="B69" s="129">
        <v>75053</v>
      </c>
      <c r="C69" s="129">
        <v>75053</v>
      </c>
      <c r="D69" s="129">
        <v>35000</v>
      </c>
      <c r="E69" s="129">
        <f t="shared" si="0"/>
        <v>-40053</v>
      </c>
      <c r="F69" s="144">
        <f>E69/C69</f>
        <v>-0.5336628782327155</v>
      </c>
    </row>
    <row r="70" spans="1:6" ht="91.5">
      <c r="A70" s="77" t="s">
        <v>46</v>
      </c>
      <c r="B70" s="78">
        <v>0</v>
      </c>
      <c r="C70" s="78">
        <v>0</v>
      </c>
      <c r="D70" s="78">
        <v>0</v>
      </c>
      <c r="E70" s="78">
        <f t="shared" si="0"/>
        <v>0</v>
      </c>
      <c r="F70" s="92">
        <v>0</v>
      </c>
    </row>
    <row r="71" spans="1:6" ht="91.5">
      <c r="A71" s="80" t="s">
        <v>47</v>
      </c>
      <c r="B71" s="78">
        <v>0</v>
      </c>
      <c r="C71" s="78">
        <v>0</v>
      </c>
      <c r="D71" s="78">
        <v>0</v>
      </c>
      <c r="E71" s="78">
        <f t="shared" si="0"/>
        <v>0</v>
      </c>
      <c r="F71" s="90">
        <v>0</v>
      </c>
    </row>
    <row r="72" spans="1:6" s="126" customFormat="1" ht="90">
      <c r="A72" s="99" t="s">
        <v>48</v>
      </c>
      <c r="B72" s="74">
        <f>SUM(B69:B71)</f>
        <v>75053</v>
      </c>
      <c r="C72" s="74">
        <f>SUM(C69:C71)</f>
        <v>75053</v>
      </c>
      <c r="D72" s="74">
        <f>SUM(D69:D71)</f>
        <v>35000</v>
      </c>
      <c r="E72" s="74">
        <f t="shared" si="0"/>
        <v>-40053</v>
      </c>
      <c r="F72" s="87">
        <f>E72/C72</f>
        <v>-0.5336628782327155</v>
      </c>
    </row>
    <row r="73" spans="1:6" ht="92.25" thickBot="1">
      <c r="A73" s="151" t="s">
        <v>31</v>
      </c>
      <c r="B73" s="152">
        <f>B72+B68+B63+B59</f>
        <v>3361150</v>
      </c>
      <c r="C73" s="152">
        <f>C72+C68+C63+C59</f>
        <v>3361150</v>
      </c>
      <c r="D73" s="152">
        <f>D72+D68+D63+D59</f>
        <v>3707742</v>
      </c>
      <c r="E73" s="152">
        <f t="shared" si="0"/>
        <v>346592</v>
      </c>
      <c r="F73" s="153">
        <f>E73/C73</f>
        <v>0.1031170879014623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5" ht="91.5">
      <c r="A75" s="56" t="s">
        <v>0</v>
      </c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A28">
      <selection activeCell="B14" sqref="B14"/>
    </sheetView>
  </sheetViews>
  <sheetFormatPr defaultColWidth="9.6640625" defaultRowHeight="15"/>
  <cols>
    <col min="1" max="1" width="255.77734375" style="56" bestFit="1" customWidth="1"/>
    <col min="2" max="2" width="73.4453125" style="51" customWidth="1"/>
    <col min="3" max="4" width="77.5546875" style="51" bestFit="1" customWidth="1"/>
    <col min="5" max="5" width="92.4453125" style="51" bestFit="1" customWidth="1"/>
    <col min="6" max="6" width="47.99609375" style="57" bestFit="1" customWidth="1"/>
    <col min="7" max="16384" width="9.6640625" style="56" customWidth="1"/>
  </cols>
  <sheetData>
    <row r="1" spans="1:6" ht="91.5">
      <c r="A1" s="50" t="s">
        <v>3</v>
      </c>
      <c r="C1" s="52"/>
      <c r="D1" s="54" t="s">
        <v>6</v>
      </c>
      <c r="E1" s="55" t="s">
        <v>181</v>
      </c>
      <c r="F1" s="56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f>LSUBR!B8+LSUA!B8+LSUE!B8+LSUS!B8+UNO!B8+'LSUHSC S'!B8+'EA CONWAY'!B8+'LSU AG'!B8+'LSU LAW'!B8+'LSU HSC NO'!B8+LSUBOS!B8+PENNINGTON!B8</f>
        <v>608167415</v>
      </c>
      <c r="C8" s="74">
        <f>LSUBR!C8+LSUA!C8+LSUE!C8+LSUS!C8+UNO!C8+'LSUHSC S'!C8+'EA CONWAY'!C8+'LSU AG'!C8+'LSU LAW'!C8+'LSU HSC NO'!C8+LSUBOS!C8+PENNINGTON!C8</f>
        <v>608167415</v>
      </c>
      <c r="D8" s="74">
        <f>LSUBR!D8+LSUA!D8+LSUE!D8+LSUS!D8+UNO!D8+'LSUHSC S'!D8+'EA CONWAY'!D8+'LSU AG'!D8+'LSU LAW'!D8+'LSU HSC NO'!D8+LSUBOS!D8+PENNINGTON!D8</f>
        <v>659409765</v>
      </c>
      <c r="E8" s="74">
        <f>LSUBR!E8+LSUA!E8+LSUE!E8+LSUS!E8+UNO!E8+'LSUHSC S'!E8+'EA CONWAY'!E8+'LSU AG'!E8+'LSU LAW'!E8+'LSU HSC NO'!E8+LSUBOS!E8+PENNINGTON!E8</f>
        <v>51242350</v>
      </c>
      <c r="F8" s="75">
        <f>IF(ISERROR(E8/C8),0,(E8/C8))</f>
        <v>0.08425698045660668</v>
      </c>
    </row>
    <row r="9" spans="1:6" ht="91.5">
      <c r="A9" s="76" t="s">
        <v>60</v>
      </c>
      <c r="B9" s="74">
        <f>SUM(B10:B22)</f>
        <v>64961210</v>
      </c>
      <c r="C9" s="74">
        <f>SUM(C10:C22)</f>
        <v>64961210</v>
      </c>
      <c r="D9" s="74">
        <f>SUM(D10:D22)</f>
        <v>66695188</v>
      </c>
      <c r="E9" s="74">
        <f>SUM(E10:E22)</f>
        <v>1733978</v>
      </c>
      <c r="F9" s="75">
        <f aca="true" t="shared" si="0" ref="F9:F40">IF(ISERROR(E9/C9),0,(E9/C9))</f>
        <v>0.02669251388636388</v>
      </c>
    </row>
    <row r="10" spans="1:6" ht="91.5">
      <c r="A10" s="77" t="s">
        <v>61</v>
      </c>
      <c r="B10" s="78">
        <f>LSUBR!B10+LSUA!B10+LSUE!B10+LSUS!B10+UNO!B10+'LSUHSC S'!B10+'EA CONWAY'!B10+'LSU AG'!B10+'LSU LAW'!B10+'LSU HSC NO'!B10+LSUBOS!B10+PENNINGTON!B10</f>
        <v>9730365</v>
      </c>
      <c r="C10" s="78">
        <f>LSUBR!C10+LSUA!C10+LSUE!C10+LSUS!C10+UNO!C10+'LSUHSC S'!C10+'EA CONWAY'!C10+'LSU AG'!C10+'LSU LAW'!C10+'LSU HSC NO'!C10+LSUBOS!C10+PENNINGTON!C10</f>
        <v>9730365</v>
      </c>
      <c r="D10" s="78">
        <f>LSUBR!D10+LSUA!D10+LSUE!D10+LSUS!D10+UNO!D10+'LSUHSC S'!D10+'EA CONWAY'!D10+'LSU AG'!D10+'LSU LAW'!D10+'LSU HSC NO'!D10+LSUBOS!D10+PENNINGTON!D10</f>
        <v>11178530</v>
      </c>
      <c r="E10" s="78">
        <f>LSUBR!E10+LSUA!E10+LSUE!E10+LSUS!E10+UNO!E10+'LSUHSC S'!E10+'EA CONWAY'!E10+'LSU AG'!E10+'LSU LAW'!E10+'LSU HSC NO'!E10+LSUBOS!E10+PENNINGTON!E10</f>
        <v>1448165</v>
      </c>
      <c r="F10" s="79">
        <f t="shared" si="0"/>
        <v>0.14882946323185203</v>
      </c>
    </row>
    <row r="11" spans="1:6" ht="91.5">
      <c r="A11" s="80" t="s">
        <v>62</v>
      </c>
      <c r="B11" s="78">
        <f>LSUBR!B11+LSUA!B11+LSUE!B11+LSUS!B11+UNO!B11+'LSUHSC S'!B11+'EA CONWAY'!B11+'LSU AG'!B11+'LSU LAW'!B11+'LSU HSC NO'!B11+LSUBOS!B11+PENNINGTON!B11</f>
        <v>23860767</v>
      </c>
      <c r="C11" s="78">
        <f>LSUBR!C11+LSUA!C11+LSUE!C11+LSUS!C11+UNO!C11+'LSUHSC S'!C11+'EA CONWAY'!C11+'LSU AG'!C11+'LSU LAW'!C11+'LSU HSC NO'!C11+LSUBOS!C11+PENNINGTON!C11</f>
        <v>23860767</v>
      </c>
      <c r="D11" s="78">
        <f>LSUBR!D11+LSUA!D11+LSUE!D11+LSUS!D11+UNO!D11+'LSUHSC S'!D11+'EA CONWAY'!D11+'LSU AG'!D11+'LSU LAW'!D11+'LSU HSC NO'!D11+LSUBOS!D11+PENNINGTON!D11</f>
        <v>25147988</v>
      </c>
      <c r="E11" s="78">
        <f>LSUBR!E11+LSUA!E11+LSUE!E11+LSUS!E11+UNO!E11+'LSUHSC S'!E11+'EA CONWAY'!E11+'LSU AG'!E11+'LSU LAW'!E11+'LSU HSC NO'!E11+LSUBOS!E11+PENNINGTON!E11</f>
        <v>1287221</v>
      </c>
      <c r="F11" s="79">
        <f t="shared" si="0"/>
        <v>0.05394717613226767</v>
      </c>
    </row>
    <row r="12" spans="1:6" ht="91.5">
      <c r="A12" s="80" t="s">
        <v>65</v>
      </c>
      <c r="B12" s="78">
        <f>LSUBR!B12+LSUA!B12+LSUE!B12+LSUS!B12+UNO!B12+'LSUHSC S'!B12+'EA CONWAY'!B12+'LSU AG'!B12+'LSU LAW'!B12+'LSU HSC NO'!B12+LSUBOS!B12+PENNINGTON!B12</f>
        <v>28152765</v>
      </c>
      <c r="C12" s="78">
        <f>LSUBR!C12+LSUA!C12+LSUE!C12+LSUS!C12+UNO!C12+'LSUHSC S'!C12+'EA CONWAY'!C12+'LSU AG'!C12+'LSU LAW'!C12+'LSU HSC NO'!C12+LSUBOS!C12+PENNINGTON!C12</f>
        <v>28152765</v>
      </c>
      <c r="D12" s="78">
        <f>LSUBR!D12+LSUA!D12+LSUE!D12+LSUS!D12+UNO!D12+'LSUHSC S'!D12+'EA CONWAY'!D12+'LSU AG'!D12+'LSU LAW'!D12+'LSU HSC NO'!D12+LSUBOS!D12+PENNINGTON!D12</f>
        <v>27081357</v>
      </c>
      <c r="E12" s="78">
        <f>LSUBR!E12+LSUA!E12+LSUE!E12+LSUS!E12+UNO!E12+'LSUHSC S'!E12+'EA CONWAY'!E12+'LSU AG'!E12+'LSU LAW'!E12+'LSU HSC NO'!E12+LSUBOS!E12+PENNINGTON!E12</f>
        <v>-1071408</v>
      </c>
      <c r="F12" s="79">
        <f t="shared" si="0"/>
        <v>-0.03805693685859986</v>
      </c>
    </row>
    <row r="13" spans="1:6" ht="91.5">
      <c r="A13" s="80" t="s">
        <v>66</v>
      </c>
      <c r="B13" s="78">
        <f>LSUBR!B13+LSUA!B13+LSUE!B13+LSUS!B13+UNO!B13+'LSUHSC S'!B13+'EA CONWAY'!B13+'LSU AG'!B13+'LSU LAW'!B13+'LSU HSC NO'!B13+LSUBOS!B13+PENNINGTON!B13</f>
        <v>0</v>
      </c>
      <c r="C13" s="78">
        <f>LSUBR!C13+LSUA!C13+LSUE!C13+LSUS!C13+UNO!C13+'LSUHSC S'!C13+'EA CONWAY'!C13+'LSU AG'!C13+'LSU LAW'!C13+'LSU HSC NO'!C13+LSUBOS!C13+PENNINGTON!C13</f>
        <v>0</v>
      </c>
      <c r="D13" s="78">
        <f>LSUBR!D13+LSUA!D13+LSUE!D13+LSUS!D13+UNO!D13+'LSUHSC S'!D13+'EA CONWAY'!D13+'LSU AG'!D13+'LSU LAW'!D13+'LSU HSC NO'!D13+LSUBOS!D13+PENNINGTON!D13</f>
        <v>0</v>
      </c>
      <c r="E13" s="78">
        <f>LSUBR!E13+LSUA!E13+LSUE!E13+LSUS!E13+UNO!E13+'LSUHSC S'!E13+'EA CONWAY'!E13+'LSU AG'!E13+'LSU LAW'!E13+'LSU HSC NO'!E13+LSUBOS!E13+PENNINGTON!E13</f>
        <v>0</v>
      </c>
      <c r="F13" s="79">
        <f t="shared" si="0"/>
        <v>0</v>
      </c>
    </row>
    <row r="14" spans="1:6" ht="91.5">
      <c r="A14" s="80" t="s">
        <v>67</v>
      </c>
      <c r="B14" s="78">
        <f>LSUBR!B14+LSUA!B14+LSUE!B14+LSUS!B14+UNO!B14+'LSUHSC S'!B14+'EA CONWAY'!B14+'LSU AG'!B14+'LSU LAW'!B14+'LSU HSC NO'!B14+LSUBOS!B14+PENNINGTON!B14</f>
        <v>0</v>
      </c>
      <c r="C14" s="78">
        <f>LSUBR!C14+LSUA!C14+LSUE!C14+LSUS!C14+UNO!C14+'LSUHSC S'!C14+'EA CONWAY'!C14+'LSU AG'!C14+'LSU LAW'!C14+'LSU HSC NO'!C14+LSUBOS!C14+PENNINGTON!C14</f>
        <v>0</v>
      </c>
      <c r="D14" s="78">
        <f>LSUBR!D14+LSUA!D14+LSUE!D14+LSUS!D14+UNO!D14+'LSUHSC S'!D14+'EA CONWAY'!D14+'LSU AG'!D14+'LSU LAW'!D14+'LSU HSC NO'!D14+LSUBOS!D14+PENNINGTON!D14</f>
        <v>0</v>
      </c>
      <c r="E14" s="78">
        <f>LSUBR!E14+LSUA!E14+LSUE!E14+LSUS!E14+UNO!E14+'LSUHSC S'!E14+'EA CONWAY'!E14+'LSU AG'!E14+'LSU LAW'!E14+'LSU HSC NO'!E14+LSUBOS!E14+PENNINGTON!E14</f>
        <v>0</v>
      </c>
      <c r="F14" s="79">
        <f t="shared" si="0"/>
        <v>0</v>
      </c>
    </row>
    <row r="15" spans="1:6" ht="91.5">
      <c r="A15" s="80" t="s">
        <v>74</v>
      </c>
      <c r="B15" s="78">
        <f>LSUBR!B15+LSUA!B15+LSUE!B15+LSUS!B15+UNO!B15+'LSUHSC S'!B15+'EA CONWAY'!B15+'LSU AG'!B15+'LSU LAW'!B15+'LSU HSC NO'!B15+LSUBOS!B15+PENNINGTON!B15</f>
        <v>0</v>
      </c>
      <c r="C15" s="78">
        <f>LSUBR!C15+LSUA!C15+LSUE!C15+LSUS!C15+UNO!C15+'LSUHSC S'!C15+'EA CONWAY'!C15+'LSU AG'!C15+'LSU LAW'!C15+'LSU HSC NO'!C15+LSUBOS!C15+PENNINGTON!C15</f>
        <v>0</v>
      </c>
      <c r="D15" s="78">
        <f>LSUBR!D15+LSUA!D15+LSUE!D15+LSUS!D15+UNO!D15+'LSUHSC S'!D15+'EA CONWAY'!D15+'LSU AG'!D15+'LSU LAW'!D15+'LSU HSC NO'!D15+LSUBOS!D15+PENNINGTON!D15</f>
        <v>0</v>
      </c>
      <c r="E15" s="78">
        <f>LSUBR!E15+LSUA!E15+LSUE!E15+LSUS!E15+UNO!E15+'LSUHSC S'!E15+'EA CONWAY'!E15+'LSU AG'!E15+'LSU LAW'!E15+'LSU HSC NO'!E15+LSUBOS!E15+PENNINGTON!E15</f>
        <v>0</v>
      </c>
      <c r="F15" s="79">
        <f t="shared" si="0"/>
        <v>0</v>
      </c>
    </row>
    <row r="16" spans="1:6" ht="91.5">
      <c r="A16" s="80" t="s">
        <v>63</v>
      </c>
      <c r="B16" s="78">
        <f>LSUBR!B16+LSUA!B16+LSUE!B16+LSUS!B16+UNO!B16+'LSUHSC S'!B16+'EA CONWAY'!B16+'LSU AG'!B16+'LSU LAW'!B16+'LSU HSC NO'!B16+LSUBOS!B16+PENNINGTON!B16</f>
        <v>750000</v>
      </c>
      <c r="C16" s="78">
        <f>LSUBR!C16+LSUA!C16+LSUE!C16+LSUS!C16+UNO!C16+'LSUHSC S'!C16+'EA CONWAY'!C16+'LSU AG'!C16+'LSU LAW'!C16+'LSU HSC NO'!C16+LSUBOS!C16+PENNINGTON!C16</f>
        <v>750000</v>
      </c>
      <c r="D16" s="78">
        <f>LSUBR!D16+LSUA!D16+LSUE!D16+LSUS!D16+UNO!D16+'LSUHSC S'!D16+'EA CONWAY'!D16+'LSU AG'!D16+'LSU LAW'!D16+'LSU HSC NO'!D16+LSUBOS!D16+PENNINGTON!D16</f>
        <v>750000</v>
      </c>
      <c r="E16" s="78">
        <f>LSUBR!E16+LSUA!E16+LSUE!E16+LSUS!E16+UNO!E16+'LSUHSC S'!E16+'EA CONWAY'!E16+'LSU AG'!E16+'LSU LAW'!E16+'LSU HSC NO'!E16+LSUBOS!E16+PENNINGTON!E16</f>
        <v>0</v>
      </c>
      <c r="F16" s="79">
        <f t="shared" si="0"/>
        <v>0</v>
      </c>
    </row>
    <row r="17" spans="1:6" ht="91.5">
      <c r="A17" s="80" t="s">
        <v>64</v>
      </c>
      <c r="B17" s="78">
        <f>LSUBR!B17+LSUA!B17+LSUE!B17+LSUS!B17+UNO!B17+'LSUHSC S'!B17+'EA CONWAY'!B17+'LSU AG'!B17+'LSU LAW'!B17+'LSU HSC NO'!B17+LSUBOS!B17+PENNINGTON!B17</f>
        <v>2327313</v>
      </c>
      <c r="C17" s="78">
        <f>LSUBR!C17+LSUA!C17+LSUE!C17+LSUS!C17+UNO!C17+'LSUHSC S'!C17+'EA CONWAY'!C17+'LSU AG'!C17+'LSU LAW'!C17+'LSU HSC NO'!C17+LSUBOS!C17+PENNINGTON!C17</f>
        <v>2327313</v>
      </c>
      <c r="D17" s="78">
        <f>LSUBR!D17+LSUA!D17+LSUE!D17+LSUS!D17+UNO!D17+'LSUHSC S'!D17+'EA CONWAY'!D17+'LSU AG'!D17+'LSU LAW'!D17+'LSU HSC NO'!D17+LSUBOS!D17+PENNINGTON!D17</f>
        <v>2327313</v>
      </c>
      <c r="E17" s="78">
        <f>LSUBR!E17+LSUA!E17+LSUE!E17+LSUS!E17+UNO!E17+'LSUHSC S'!E17+'EA CONWAY'!E17+'LSU AG'!E17+'LSU LAW'!E17+'LSU HSC NO'!E17+LSUBOS!E17+PENNINGTON!E17</f>
        <v>0</v>
      </c>
      <c r="F17" s="79">
        <f t="shared" si="0"/>
        <v>0</v>
      </c>
    </row>
    <row r="18" spans="1:6" ht="91.5">
      <c r="A18" s="80" t="s">
        <v>73</v>
      </c>
      <c r="B18" s="78">
        <f>LSUBR!B18+LSUA!B18+LSUE!B18+LSUS!B18+UNO!B18+'LSUHSC S'!B18+'EA CONWAY'!B18+'LSU AG'!B18+'LSU LAW'!B18+'LSU HSC NO'!B18+LSUBOS!B18+PENNINGTON!B18</f>
        <v>140000</v>
      </c>
      <c r="C18" s="78">
        <f>LSUBR!C18+LSUA!C18+LSUE!C18+LSUS!C18+UNO!C18+'LSUHSC S'!C18+'EA CONWAY'!C18+'LSU AG'!C18+'LSU LAW'!C18+'LSU HSC NO'!C18+LSUBOS!C18+PENNINGTON!C18</f>
        <v>140000</v>
      </c>
      <c r="D18" s="78">
        <f>LSUBR!D18+LSUA!D18+LSUE!D18+LSUS!D18+UNO!D18+'LSUHSC S'!D18+'EA CONWAY'!D18+'LSU AG'!D18+'LSU LAW'!D18+'LSU HSC NO'!D18+LSUBOS!D18+PENNINGTON!D18</f>
        <v>210000</v>
      </c>
      <c r="E18" s="78">
        <f>LSUBR!E18+LSUA!E18+LSUE!E18+LSUS!E18+UNO!E18+'LSUHSC S'!E18+'EA CONWAY'!E18+'LSU AG'!E18+'LSU LAW'!E18+'LSU HSC NO'!E18+LSUBOS!E18+PENNINGTON!E18</f>
        <v>70000</v>
      </c>
      <c r="F18" s="79">
        <f t="shared" si="0"/>
        <v>0.5</v>
      </c>
    </row>
    <row r="19" spans="1:6" ht="91.5">
      <c r="A19" s="80" t="s">
        <v>68</v>
      </c>
      <c r="B19" s="78">
        <f>LSUBR!B19+LSUA!B19+LSUE!B19+LSUS!B19+UNO!B19+'LSUHSC S'!B19+'EA CONWAY'!B20+'LSU AG'!B19+'LSU LAW'!B19+'LSU HSC NO'!B19+LSUBOS!B19+PENNINGTON!B19</f>
        <v>0</v>
      </c>
      <c r="C19" s="78">
        <f>LSUBR!C19+LSUA!C19+LSUE!C19+LSUS!C19+UNO!C19+'LSUHSC S'!C19+'EA CONWAY'!C20+'LSU AG'!C19+'LSU LAW'!C19+'LSU HSC NO'!C19+LSUBOS!C19+PENNINGTON!C19</f>
        <v>0</v>
      </c>
      <c r="D19" s="78">
        <f>LSUBR!D19+LSUA!D19+LSUE!D19+LSUS!D19+UNO!D19+'LSUHSC S'!D19+'EA CONWAY'!D20+'LSU AG'!D19+'LSU LAW'!D19+'LSU HSC NO'!D19+LSUBOS!D19+PENNINGTON!D19</f>
        <v>0</v>
      </c>
      <c r="E19" s="78">
        <f>LSUBR!E19+LSUA!E19+LSUE!E19+LSUS!E19+UNO!E19+'LSUHSC S'!E19+'EA CONWAY'!E20+'LSU AG'!E19+'LSU LAW'!E19+'LSU HSC NO'!E19+LSUBOS!E19+PENNINGTON!E19</f>
        <v>0</v>
      </c>
      <c r="F19" s="79">
        <f t="shared" si="0"/>
        <v>0</v>
      </c>
    </row>
    <row r="20" spans="1:6" ht="91.5">
      <c r="A20" s="80" t="s">
        <v>69</v>
      </c>
      <c r="B20" s="78">
        <f>LSUBR!B20+LSUA!B20+LSUE!B20+LSUS!B20+UNO!B20+'LSUHSC S'!B20+'EA CONWAY'!B21+'LSU AG'!B20+'LSU LAW'!B20+'LSU HSC NO'!B20+LSUBOS!B20+PENNINGTON!B20</f>
        <v>0</v>
      </c>
      <c r="C20" s="78">
        <f>LSUBR!C20+LSUA!C20+LSUE!C20+LSUS!C20+UNO!C20+'LSUHSC S'!C20+'EA CONWAY'!C21+'LSU AG'!C20+'LSU LAW'!C20+'LSU HSC NO'!C20+LSUBOS!C20+PENNINGTON!C20</f>
        <v>0</v>
      </c>
      <c r="D20" s="78">
        <f>LSUBR!D20+LSUA!D20+LSUE!D20+LSUS!D20+UNO!D20+'LSUHSC S'!D20+'EA CONWAY'!D21+'LSU AG'!D20+'LSU LAW'!D20+'LSU HSC NO'!D20+LSUBOS!D20+PENNINGTON!D20</f>
        <v>0</v>
      </c>
      <c r="E20" s="78">
        <f>LSUBR!E20+LSUA!E20+LSUE!E20+LSUS!E20+UNO!E20+'LSUHSC S'!E20+'EA CONWAY'!E21+'LSU AG'!E20+'LSU LAW'!E20+'LSU HSC NO'!E20+LSUBOS!E20+PENNINGTON!E20</f>
        <v>0</v>
      </c>
      <c r="F20" s="79">
        <f t="shared" si="0"/>
        <v>0</v>
      </c>
    </row>
    <row r="21" spans="1:6" ht="91.5">
      <c r="A21" s="80" t="s">
        <v>70</v>
      </c>
      <c r="B21" s="78">
        <f>LSUBR!B21+LSUA!B21+LSUE!B21+LSUS!B21+UNO!B21+'LSUHSC S'!B21+'EA CONWAY'!B22+'LSU AG'!B21+'LSU LAW'!B21+'LSU HSC NO'!B21+LSUBOS!B21+PENNINGTON!B21</f>
        <v>0</v>
      </c>
      <c r="C21" s="78">
        <f>LSUBR!C21+LSUA!C21+LSUE!C21+LSUS!C21+UNO!C21+'LSUHSC S'!C21+'EA CONWAY'!C22+'LSU AG'!C21+'LSU LAW'!C21+'LSU HSC NO'!C21+LSUBOS!C21+PENNINGTON!C21</f>
        <v>0</v>
      </c>
      <c r="D21" s="78">
        <f>LSUBR!D21+LSUA!D21+LSUE!D21+LSUS!D21+UNO!D21+'LSUHSC S'!D21+'EA CONWAY'!D22+'LSU AG'!D21+'LSU LAW'!D21+'LSU HSC NO'!D21+LSUBOS!D21+PENNINGTON!D21</f>
        <v>0</v>
      </c>
      <c r="E21" s="78">
        <f>LSUBR!E21+LSUA!E21+LSUE!E21+LSUS!E21+UNO!E21+'LSUHSC S'!E21+'EA CONWAY'!E22+'LSU AG'!E21+'LSU LAW'!E21+'LSU HSC NO'!E21+LSUBOS!E21+PENNINGTON!E21</f>
        <v>0</v>
      </c>
      <c r="F21" s="79">
        <f t="shared" si="0"/>
        <v>0</v>
      </c>
    </row>
    <row r="22" spans="1:6" ht="91.5">
      <c r="A22" s="81" t="s">
        <v>71</v>
      </c>
      <c r="B22" s="78">
        <f>LSUBR!B22+LSUA!B22+LSUE!B22+LSUS!B22+UNO!B22+'LSUHSC S'!B22+'EA CONWAY'!B23+'LSU AG'!B22+'LSU LAW'!B22+'LSU HSC NO'!B22+LSUBOS!B22+PENNINGTON!B22</f>
        <v>0</v>
      </c>
      <c r="C22" s="78">
        <f>LSUBR!C22+LSUA!C22+LSUE!C22+LSUS!C22+UNO!C22+'LSUHSC S'!C22+'EA CONWAY'!C23+'LSU AG'!C22+'LSU LAW'!C22+'LSU HSC NO'!C22+LSUBOS!C22+PENNINGTON!C22</f>
        <v>0</v>
      </c>
      <c r="D22" s="78">
        <f>LSUBR!D22+LSUA!D22+LSUE!D22+LSUS!D22+UNO!D22+'LSUHSC S'!D22+'EA CONWAY'!D23+'LSU AG'!D22+'LSU LAW'!D22+'LSU HSC NO'!D22+LSUBOS!D22+PENNINGTON!D22</f>
        <v>0</v>
      </c>
      <c r="E22" s="78">
        <f>LSUBR!E22+LSUA!E22+LSUE!E22+LSUS!E22+UNO!E22+'LSUHSC S'!E22+'EA CONWAY'!E23+'LSU AG'!E22+'LSU LAW'!E22+'LSU HSC NO'!E22+LSUBOS!E22+PENNINGTON!E22</f>
        <v>0</v>
      </c>
      <c r="F22" s="79">
        <f t="shared" si="0"/>
        <v>0</v>
      </c>
    </row>
    <row r="23" spans="1:6" ht="91.5">
      <c r="A23" s="82" t="s">
        <v>50</v>
      </c>
      <c r="B23" s="83">
        <f>LSUBR!B23+LSUA!B23+LSUE!B23+LSUS!B23+UNO!B23+'LSUHSC S'!B23+'EA CONWAY'!B24+'LSU AG'!B23+'LSU LAW'!B23+'LSU HSC NO'!B23+LSUBOS!B23+PENNINGTON!B23</f>
        <v>0</v>
      </c>
      <c r="C23" s="83">
        <f>LSUBR!C23+LSUA!C23+LSUE!C23+LSUS!C23+UNO!C23+'LSUHSC S'!C23+'EA CONWAY'!C24+'LSU AG'!C23+'LSU LAW'!C23+'LSU HSC NO'!C23+LSUBOS!C23+PENNINGTON!C23</f>
        <v>0</v>
      </c>
      <c r="D23" s="83">
        <f>LSUBR!D23+LSUA!D23+LSUE!D23+LSUS!D23+UNO!D23+'LSUHSC S'!D23+'EA CONWAY'!D24+'LSU AG'!D23+'LSU LAW'!D23+'LSU HSC NO'!D23+LSUBOS!D23+PENNINGTON!D23</f>
        <v>0</v>
      </c>
      <c r="E23" s="83">
        <f>LSUBR!E23+LSUA!E23+LSUE!E23+LSUS!E23+UNO!E23+'LSUHSC S'!E23+'EA CONWAY'!E24+'LSU AG'!E23+'LSU LAW'!E23+'LSU HSC NO'!E23+LSUBOS!E23+PENNINGTON!E23</f>
        <v>0</v>
      </c>
      <c r="F23" s="75">
        <f t="shared" si="0"/>
        <v>0</v>
      </c>
    </row>
    <row r="24" spans="1:6" ht="91.5">
      <c r="A24" s="84" t="s">
        <v>51</v>
      </c>
      <c r="B24" s="78">
        <f>LSUBR!B24+LSUA!B24+LSUE!B24+LSUS!B24+UNO!B24+'LSUHSC S'!B24+'EA CONWAY'!B25+'LSU AG'!B24+'LSU LAW'!B24+'LSU HSC NO'!B24+LSUBOS!B24+PENNINGTON!B24</f>
        <v>0</v>
      </c>
      <c r="C24" s="78">
        <f>LSUBR!C24+LSUA!C24+LSUE!C24+LSUS!C24+UNO!C24+'LSUHSC S'!C24+'EA CONWAY'!C25+'LSU AG'!C24+'LSU LAW'!C24+'LSU HSC NO'!C24+LSUBOS!C24+PENNINGTON!C24</f>
        <v>0</v>
      </c>
      <c r="D24" s="78">
        <f>LSUBR!D24+LSUA!D24+LSUE!D24+LSUS!D24+UNO!D24+'LSUHSC S'!D24+'EA CONWAY'!D25+'LSU AG'!D24+'LSU LAW'!D24+'LSU HSC NO'!D24+LSUBOS!D24+PENNINGTON!D24</f>
        <v>0</v>
      </c>
      <c r="E24" s="78">
        <f>LSUBR!E24+LSUA!E24+LSUE!E24+LSUS!E24+UNO!E24+'LSUHSC S'!E24+'EA CONWAY'!E25+'LSU AG'!E24+'LSU LAW'!E24+'LSU HSC NO'!E24+LSUBOS!E24+PENNINGTON!E24</f>
        <v>0</v>
      </c>
      <c r="F24" s="79">
        <f t="shared" si="0"/>
        <v>0</v>
      </c>
    </row>
    <row r="25" spans="1:6" ht="91.5">
      <c r="A25" s="77" t="s">
        <v>53</v>
      </c>
      <c r="B25" s="78">
        <f>LSUBR!B25+LSUA!B25+LSUE!B25+LSUS!B25+UNO!B25+'LSUHSC S'!B25+'EA CONWAY'!B26+'LSU AG'!B25+'LSU LAW'!B25+'LSU HSC NO'!B25+LSUBOS!B25+PENNINGTON!B25</f>
        <v>0</v>
      </c>
      <c r="C25" s="78">
        <f>LSUBR!C25+LSUA!C25+LSUE!C25+LSUS!C25+UNO!C25+'LSUHSC S'!C25+'EA CONWAY'!C26+'LSU AG'!C25+'LSU LAW'!C25+'LSU HSC NO'!C25+LSUBOS!C25+PENNINGTON!C25</f>
        <v>0</v>
      </c>
      <c r="D25" s="78">
        <f>LSUBR!D25+LSUA!D25+LSUE!D25+LSUS!D25+UNO!D25+'LSUHSC S'!D25+'EA CONWAY'!D26+'LSU AG'!D25+'LSU LAW'!D25+'LSU HSC NO'!D25+LSUBOS!D25+PENNINGTON!D25</f>
        <v>0</v>
      </c>
      <c r="E25" s="78">
        <f>LSUBR!E25+LSUA!E25+LSUE!E25+LSUS!E25+UNO!E25+'LSUHSC S'!E25+'EA CONWAY'!E26+'LSU AG'!E25+'LSU LAW'!E25+'LSU HSC NO'!E25+LSUBOS!E25+PENNINGTON!E25</f>
        <v>0</v>
      </c>
      <c r="F25" s="79">
        <f t="shared" si="0"/>
        <v>0</v>
      </c>
    </row>
    <row r="26" spans="1:6" ht="91.5">
      <c r="A26" s="76" t="s">
        <v>52</v>
      </c>
      <c r="B26" s="83">
        <f>LSUBR!B26+LSUA!B26+LSUE!B26+LSUS!B26+UNO!B26+'LSUHSC S'!B26+'EA CONWAY'!B27+'LSU AG'!B26+'LSU LAW'!B26+'LSU HSC NO'!B26+LSUBOS!B26+PENNINGTON!B26</f>
        <v>0</v>
      </c>
      <c r="C26" s="83">
        <f>LSUBR!C26+LSUA!C26+LSUE!C26+LSUS!C26+UNO!C26+'LSUHSC S'!C26+'EA CONWAY'!C27+'LSU AG'!C26+'LSU LAW'!C26+'LSU HSC NO'!C26+LSUBOS!C26+PENNINGTON!C26</f>
        <v>0</v>
      </c>
      <c r="D26" s="83">
        <f>LSUBR!D26+LSUA!D26+LSUE!D26+LSUS!D26+UNO!D26+'LSUHSC S'!D26+'EA CONWAY'!D27+'LSU AG'!D26+'LSU LAW'!D26+'LSU HSC NO'!D26+LSUBOS!D26+PENNINGTON!D26</f>
        <v>0</v>
      </c>
      <c r="E26" s="83">
        <f>LSUBR!E26+LSUA!E26+LSUE!E26+LSUS!E26+UNO!E26+'LSUHSC S'!E26+'EA CONWAY'!E27+'LSU AG'!E26+'LSU LAW'!E26+'LSU HSC NO'!E26+LSUBOS!E26+PENNINGTON!E26</f>
        <v>0</v>
      </c>
      <c r="F26" s="75">
        <f t="shared" si="0"/>
        <v>0</v>
      </c>
    </row>
    <row r="27" spans="1:6" ht="91.5">
      <c r="A27" s="77" t="s">
        <v>51</v>
      </c>
      <c r="B27" s="78">
        <f>LSUBR!B27+LSUA!B27+LSUE!B27+LSUS!B27+UNO!B27+'LSUHSC S'!B27+'EA CONWAY'!B28+'LSU AG'!B27+'LSU LAW'!B27+'LSU HSC NO'!B27+LSUBOS!B27+PENNINGTON!B27</f>
        <v>0</v>
      </c>
      <c r="C27" s="78">
        <f>LSUBR!C27+LSUA!C27+LSUE!C27+LSUS!C27+UNO!C27+'LSUHSC S'!C27+'EA CONWAY'!C28+'LSU AG'!C27+'LSU LAW'!C27+'LSU HSC NO'!C27+LSUBOS!C27+PENNINGTON!C27</f>
        <v>0</v>
      </c>
      <c r="D27" s="78">
        <f>LSUBR!D27+LSUA!D27+LSUE!D27+LSUS!D27+UNO!D27+'LSUHSC S'!D27+'EA CONWAY'!D28+'LSU AG'!D27+'LSU LAW'!D27+'LSU HSC NO'!D27+LSUBOS!D27+PENNINGTON!D27</f>
        <v>0</v>
      </c>
      <c r="E27" s="78">
        <f>LSUBR!E27+LSUA!E27+LSUE!E27+LSUS!E27+UNO!E27+'LSUHSC S'!E27+'EA CONWAY'!E28+'LSU AG'!E27+'LSU LAW'!E27+'LSU HSC NO'!E27+LSUBOS!E27+PENNINGTON!E27</f>
        <v>0</v>
      </c>
      <c r="F27" s="79">
        <f t="shared" si="0"/>
        <v>0</v>
      </c>
    </row>
    <row r="28" spans="1:6" ht="91.5">
      <c r="A28" s="80" t="s">
        <v>53</v>
      </c>
      <c r="B28" s="78">
        <f>LSUBR!B28+LSUA!B28+LSUE!B28+LSUS!B28+UNO!B28+'LSUHSC S'!B28+'EA CONWAY'!B29+'LSU AG'!B28+'LSU LAW'!B28+'LSU HSC NO'!B28+LSUBOS!B28+PENNINGTON!B28</f>
        <v>0</v>
      </c>
      <c r="C28" s="78">
        <f>LSUBR!C28+LSUA!C28+LSUE!C28+LSUS!C28+UNO!C28+'LSUHSC S'!C28+'EA CONWAY'!C29+'LSU AG'!C28+'LSU LAW'!C28+'LSU HSC NO'!C28+LSUBOS!C28+PENNINGTON!C28</f>
        <v>0</v>
      </c>
      <c r="D28" s="78">
        <f>LSUBR!D28+LSUA!D28+LSUE!D28+LSUS!D28+UNO!D28+'LSUHSC S'!D28+'EA CONWAY'!D29+'LSU AG'!D28+'LSU LAW'!D28+'LSU HSC NO'!D28+LSUBOS!D28+PENNINGTON!D28</f>
        <v>0</v>
      </c>
      <c r="E28" s="78">
        <f>LSUBR!E28+LSUA!E28+LSUE!E28+LSUS!E28+UNO!E28+'LSUHSC S'!E28+'EA CONWAY'!E29+'LSU AG'!E28+'LSU LAW'!E28+'LSU HSC NO'!E28+LSUBOS!E28+PENNINGTON!E28</f>
        <v>0</v>
      </c>
      <c r="F28" s="79">
        <f t="shared" si="0"/>
        <v>0</v>
      </c>
    </row>
    <row r="29" spans="1:6" ht="91.5">
      <c r="A29" s="80" t="s">
        <v>54</v>
      </c>
      <c r="B29" s="78">
        <f>LSUBR!B29+LSUA!B29+LSUE!B29+LSUS!B29+UNO!B29+'LSUHSC S'!B29+'EA CONWAY'!B30+'LSU AG'!B29+'LSU LAW'!B29+'LSU HSC NO'!B29+LSUBOS!B29+PENNINGTON!B29</f>
        <v>1130261</v>
      </c>
      <c r="C29" s="78">
        <f>LSUBR!C29+LSUA!C29+LSUE!C29+LSUS!C29+UNO!C29+'LSUHSC S'!C29+'EA CONWAY'!C30+'LSU AG'!C29+'LSU LAW'!C29+'LSU HSC NO'!C29+LSUBOS!C29+PENNINGTON!C29</f>
        <v>1400000</v>
      </c>
      <c r="D29" s="78">
        <f>LSUBR!D29+LSUA!D29+LSUE!D29+LSUS!D29+UNO!D29+'LSUHSC S'!D29+'EA CONWAY'!D30+'LSU AG'!D29+'LSU LAW'!D29+'LSU HSC NO'!D29+LSUBOS!D29+PENNINGTON!D29</f>
        <v>0</v>
      </c>
      <c r="E29" s="78">
        <f>LSUBR!E29+LSUA!E29+LSUE!E29+LSUS!E29+UNO!E29+'LSUHSC S'!E29+'EA CONWAY'!E30+'LSU AG'!E29+'LSU LAW'!E29+'LSU HSC NO'!E29+LSUBOS!E29+PENNINGTON!E29</f>
        <v>-1400000</v>
      </c>
      <c r="F29" s="79">
        <f t="shared" si="0"/>
        <v>-1</v>
      </c>
    </row>
    <row r="30" spans="1:6" ht="91.5">
      <c r="A30" s="76" t="s">
        <v>14</v>
      </c>
      <c r="B30" s="85">
        <f>SUM(B24:B29)+B9+B8</f>
        <v>674258886</v>
      </c>
      <c r="C30" s="86">
        <f>SUM(C23:C29)+C9+C8</f>
        <v>674528625</v>
      </c>
      <c r="D30" s="86">
        <f>SUM(D23:D29)+D9+D8</f>
        <v>726104953</v>
      </c>
      <c r="E30" s="86">
        <f>SUM(E23:E29)+E9+E8</f>
        <v>51576328</v>
      </c>
      <c r="F30" s="87">
        <f t="shared" si="0"/>
        <v>0.07646277131678438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f>LSUBR!B32+LSUA!B32+LSUE!B32+LSUS!B32+UNO!B32+'LSUHSC S'!B32+'EA CONWAY'!B33+'LSU AG'!B32+PENNINGTON!B32+'LSU LAW'!B32+'LSU HSC NO'!B32+LSUBOS!B32</f>
        <v>-539585</v>
      </c>
      <c r="C32" s="74">
        <f>LSUBR!C32+LSUA!C32+LSUE!C32+LSUS!C32+UNO!C32+'LSUHSC S'!C32+'EA CONWAY'!C33+'LSU AG'!C32+PENNINGTON!C32+'LSU LAW'!C32+'LSU HSC NO'!C32+LSUBOS!C32</f>
        <v>0</v>
      </c>
      <c r="D32" s="74">
        <f>LSUBR!D32+LSUA!D32+LSUE!D32+LSUS!D32+UNO!D32+'LSUHSC S'!D32+'EA CONWAY'!D33+'LSU AG'!D32+PENNINGTON!D32+'LSU LAW'!D32+'LSU HSC NO'!D32+LSUBOS!D32</f>
        <v>0</v>
      </c>
      <c r="E32" s="74">
        <f>LSUBR!E32+LSUA!E32+LSUE!E32+LSUS!E32+UNO!E32+'LSUHSC S'!E32+'EA CONWAY'!E33+'LSU AG'!E32+PENNINGTON!E32+'LSU LAW'!E32+'LSU HSC NO'!E32+LSUBOS!E32</f>
        <v>0</v>
      </c>
      <c r="F32" s="75">
        <f t="shared" si="0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f>LSUBR!B34+LSUA!B34+LSUE!B34+LSUS!B34+UNO!B34+'LSUHSC S'!B34+'EA CONWAY'!B35+'LSU AG'!B34+PENNINGTON!B34+'LSU LAW'!B34+'LSU HSC NO'!B34+LSUBOS!B34</f>
        <v>322121135</v>
      </c>
      <c r="C34" s="74">
        <f>LSUBR!C34+LSUA!C34+LSUE!C34+LSUS!C34+UNO!C34+'LSUHSC S'!C34+'EA CONWAY'!C35+'LSU AG'!C34+PENNINGTON!C34+'LSU LAW'!C34+'LSU HSC NO'!C34+LSUBOS!C34</f>
        <v>335202237</v>
      </c>
      <c r="D34" s="74">
        <f>LSUBR!D34+LSUA!D34+LSUE!D34+LSUS!D34+UNO!D34+'LSUHSC S'!D34+'EA CONWAY'!D35+'LSU AG'!D34+PENNINGTON!D34+'LSU LAW'!D34+'LSU HSC NO'!D34+LSUBOS!D34</f>
        <v>402883923</v>
      </c>
      <c r="E34" s="74">
        <f>LSUBR!E34+LSUA!E34+LSUE!E34+LSUS!E34+UNO!E34+'LSUHSC S'!E34+'EA CONWAY'!E35+'LSU AG'!E34+PENNINGTON!E34+'LSU LAW'!E34+'LSU HSC NO'!E34+LSUBOS!E34</f>
        <v>67681686</v>
      </c>
      <c r="F34" s="75">
        <f t="shared" si="0"/>
        <v>0.20191299021670908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f>LSUBR!B36+LSUA!B36+LSUE!B36+LSUS!B36+UNO!B36+'LSUHSC S'!B36+'EA CONWAY'!B37+'LSU AG'!B36+PENNINGTON!B36+'LSU LAW'!B36+'LSU HSC NO'!B36+LSUBOS!B36</f>
        <v>320002591</v>
      </c>
      <c r="C36" s="74">
        <f>LSUBR!C36+LSUA!C36+LSUE!C36+LSUS!C36+UNO!C36+'LSUHSC S'!C36+'EA CONWAY'!C37+'LSU AG'!C36+PENNINGTON!C36+'LSU LAW'!C36+'LSU HSC NO'!C36+LSUBOS!C36</f>
        <v>352527856</v>
      </c>
      <c r="D36" s="74">
        <f>LSUBR!D36+LSUA!D36+LSUE!D36+LSUS!D36+UNO!D36+'LSUHSC S'!D36+'EA CONWAY'!D37+'LSU AG'!D36+PENNINGTON!D36+'LSU LAW'!D36+'LSU HSC NO'!D36+LSUBOS!D36</f>
        <v>342508004</v>
      </c>
      <c r="E36" s="74">
        <f>LSUBR!E36+LSUA!E36+LSUE!E36+LSUS!E36+UNO!E36+'LSUHSC S'!E36+'EA CONWAY'!E37+'LSU AG'!E36+PENNINGTON!E36+'LSU LAW'!E36+'LSU HSC NO'!E36+LSUBOS!E36</f>
        <v>-10019852</v>
      </c>
      <c r="F36" s="75">
        <f t="shared" si="0"/>
        <v>-0.028422865964952283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f>LSUBR!B38+LSUA!B38+LSUE!B38+LSUS!B38+UNO!B38+'LSUHSC S'!B38+'EA CONWAY'!B39+'LSU AG'!B38+PENNINGTON!B38+'LSU LAW'!B38+'LSU HSC NO'!B38+LSUBOS!B38</f>
        <v>61484952</v>
      </c>
      <c r="C38" s="74">
        <f>LSUBR!C38+LSUA!C38+LSUE!C38+LSUS!C38+UNO!C38+'LSUHSC S'!C38+'EA CONWAY'!C39+'LSU AG'!C38+PENNINGTON!C38+'LSU LAW'!C38+'LSU HSC NO'!C38+LSUBOS!C38</f>
        <v>64958938</v>
      </c>
      <c r="D38" s="74">
        <f>LSUBR!D38+LSUA!D38+LSUE!D38+LSUS!D38+UNO!D38+'LSUHSC S'!D38+'EA CONWAY'!D39+'LSU AG'!D38+PENNINGTON!D38+'LSU LAW'!D38+'LSU HSC NO'!D38+LSUBOS!D38</f>
        <v>68040998</v>
      </c>
      <c r="E38" s="74">
        <f>LSUBR!E38+LSUA!E38+LSUE!E38+LSUS!E38+UNO!E38+'LSUHSC S'!E38+'EA CONWAY'!E39+'LSU AG'!E38+PENNINGTON!E38+'LSU LAW'!E38+'LSU HSC NO'!E38+LSUBOS!E38</f>
        <v>3082060</v>
      </c>
      <c r="F38" s="75">
        <f t="shared" si="0"/>
        <v>0.047446280602678574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B38+B36+B34+B32+B30</f>
        <v>1377327979</v>
      </c>
      <c r="C40" s="120">
        <f>C38+C36+C34+C32+C30</f>
        <v>1427217656</v>
      </c>
      <c r="D40" s="120">
        <f>D38+D36+D34+D32+D30</f>
        <v>1539537878</v>
      </c>
      <c r="E40" s="120">
        <f>E38+E36+E34+E32+E30</f>
        <v>112320222</v>
      </c>
      <c r="F40" s="121">
        <f t="shared" si="0"/>
        <v>0.07869873353080212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f>LSUBR!B42+LSUA!B42+LSUE!B42+LSUS!B42+UNO!B42+'LSUHSC S'!B42+'EA CONWAY'!B45+'LSU AG'!B42+PENNINGTON!B42+'LSU LAW'!B42+'LSU HSC NO'!B42+LSUBOS!B42</f>
        <v>385960029</v>
      </c>
      <c r="C42" s="78">
        <f>LSUBR!C42+LSUA!C42+LSUE!C42+LSUS!C42+UNO!C42+'LSUHSC S'!C42+'EA CONWAY'!C45+'LSU AG'!C42+PENNINGTON!C42+'LSU LAW'!C42+'LSU HSC NO'!C42+LSUBOS!C42</f>
        <v>432702900</v>
      </c>
      <c r="D42" s="78">
        <f>LSUBR!D42+LSUA!D42+LSUE!D42+LSUS!D42+UNO!D42+'LSUHSC S'!D42+'EA CONWAY'!D45+'LSU AG'!D42+PENNINGTON!D42+'LSU LAW'!D42+'LSU HSC NO'!D42+LSUBOS!D42</f>
        <v>454292139</v>
      </c>
      <c r="E42" s="78">
        <f>LSUBR!E42+LSUA!E42+LSUE!E42+LSUS!E42+UNO!E42+'LSUHSC S'!E42+'EA CONWAY'!E45+'LSU AG'!E42+PENNINGTON!E42+'LSU LAW'!E42+'LSU HSC NO'!E42+LSUBOS!E42</f>
        <v>21589239</v>
      </c>
      <c r="F42" s="92">
        <f aca="true" t="shared" si="1" ref="F42:F55">IF(ISERROR(E42/C42),0,(E42/C42))</f>
        <v>0.04989390873044761</v>
      </c>
    </row>
    <row r="43" spans="1:6" ht="91.5">
      <c r="A43" s="80" t="s">
        <v>20</v>
      </c>
      <c r="B43" s="78">
        <f>LSUBR!B43+LSUA!B43+LSUE!B43+LSUS!B43+UNO!B43+'LSUHSC S'!B43+'EA CONWAY'!B46+'LSU AG'!B43+PENNINGTON!B43+'LSU LAW'!B43+'LSU HSC NO'!B43+LSUBOS!B43</f>
        <v>143857482</v>
      </c>
      <c r="C43" s="78">
        <f>LSUBR!C43+LSUA!C43+LSUE!C43+LSUS!C43+UNO!C43+'LSUHSC S'!C43+'EA CONWAY'!C46+'LSU AG'!C43+PENNINGTON!C43+'LSU LAW'!C43+'LSU HSC NO'!C43+LSUBOS!C43</f>
        <v>141570691</v>
      </c>
      <c r="D43" s="78">
        <f>LSUBR!D43+LSUA!D43+LSUE!D43+LSUS!D43+UNO!D43+'LSUHSC S'!D43+'EA CONWAY'!D46+'LSU AG'!D43+PENNINGTON!D43+'LSU LAW'!D43+'LSU HSC NO'!D43+LSUBOS!D43</f>
        <v>155617231</v>
      </c>
      <c r="E43" s="78">
        <f>LSUBR!E43+LSUA!E43+LSUE!E43+LSUS!E43+UNO!E43+'LSUHSC S'!E43+'EA CONWAY'!E46+'LSU AG'!E43+PENNINGTON!E43+'LSU LAW'!E43+'LSU HSC NO'!E43+LSUBOS!E43</f>
        <v>14046540</v>
      </c>
      <c r="F43" s="90">
        <f t="shared" si="1"/>
        <v>0.09921926566000869</v>
      </c>
    </row>
    <row r="44" spans="1:6" ht="91.5">
      <c r="A44" s="80" t="s">
        <v>21</v>
      </c>
      <c r="B44" s="78">
        <f>LSUBR!B44+LSUA!B44+LSUE!B44+LSUS!B44+UNO!B44+'LSUHSC S'!B44+'EA CONWAY'!B47+'LSU AG'!B44+PENNINGTON!B44+'LSU LAW'!B44+'LSU HSC NO'!B44+LSUBOS!B44</f>
        <v>52831783</v>
      </c>
      <c r="C44" s="78">
        <f>LSUBR!C44+LSUA!C44+LSUE!C44+LSUS!C44+UNO!C44+'LSUHSC S'!C44+'EA CONWAY'!C47+'LSU AG'!C44+PENNINGTON!C44+'LSU LAW'!C44+'LSU HSC NO'!C44+LSUBOS!C44</f>
        <v>57528965</v>
      </c>
      <c r="D44" s="78">
        <f>LSUBR!D44+LSUA!D44+LSUE!D44+LSUS!D44+UNO!D44+'LSUHSC S'!D44+'EA CONWAY'!D47+'LSU AG'!D44+PENNINGTON!D44+'LSU LAW'!D44+'LSU HSC NO'!D44+LSUBOS!D44</f>
        <v>61458562</v>
      </c>
      <c r="E44" s="78">
        <f>LSUBR!E44+LSUA!E44+LSUE!E44+LSUS!E44+UNO!E44+'LSUHSC S'!E44+'EA CONWAY'!E47+'LSU AG'!E44+PENNINGTON!E44+'LSU LAW'!E44+'LSU HSC NO'!E44+LSUBOS!E44</f>
        <v>3929597</v>
      </c>
      <c r="F44" s="90">
        <f t="shared" si="1"/>
        <v>0.06830640878034222</v>
      </c>
    </row>
    <row r="45" spans="1:6" ht="91.5">
      <c r="A45" s="80" t="s">
        <v>49</v>
      </c>
      <c r="B45" s="78">
        <f>LSUBR!B45+LSUA!B45+LSUE!B45+LSUS!B45+UNO!B45+'LSUHSC S'!B45+'EA CONWAY'!B48+'LSU AG'!B45+PENNINGTON!B45+'LSU LAW'!B45+'LSU HSC NO'!B45+LSUBOS!B45</f>
        <v>102434806</v>
      </c>
      <c r="C45" s="78">
        <f>LSUBR!C45+LSUA!C45+LSUE!C45+LSUS!C45+UNO!C45+'LSUHSC S'!C45+'EA CONWAY'!C48+'LSU AG'!C45+PENNINGTON!C45+'LSU LAW'!C45+'LSU HSC NO'!C45+LSUBOS!C45</f>
        <v>102802169</v>
      </c>
      <c r="D45" s="78">
        <f>LSUBR!D45+LSUA!D45+LSUE!D45+LSUS!D45+UNO!D45+'LSUHSC S'!D45+'EA CONWAY'!D48+'LSU AG'!D45+PENNINGTON!D45+'LSU LAW'!D45+'LSU HSC NO'!D45+LSUBOS!D45</f>
        <v>106882348</v>
      </c>
      <c r="E45" s="78">
        <f>LSUBR!E45+LSUA!E45+LSUE!E45+LSUS!E45+UNO!E45+'LSUHSC S'!E45+'EA CONWAY'!E48+'LSU AG'!E45+PENNINGTON!E45+'LSU LAW'!E45+'LSU HSC NO'!E45+LSUBOS!E45</f>
        <v>4080179</v>
      </c>
      <c r="F45" s="90">
        <f t="shared" si="1"/>
        <v>0.03968961977835312</v>
      </c>
    </row>
    <row r="46" spans="1:6" ht="91.5">
      <c r="A46" s="80" t="s">
        <v>22</v>
      </c>
      <c r="B46" s="78">
        <f>LSUBR!B46+LSUA!B46+LSUE!B46+LSUS!B46+UNO!B46+'LSUHSC S'!B46+'EA CONWAY'!B49+'LSU AG'!B46+PENNINGTON!B46+'LSU LAW'!B46+'LSU HSC NO'!B46+LSUBOS!B46</f>
        <v>22258188</v>
      </c>
      <c r="C46" s="78">
        <f>LSUBR!C46+LSUA!C46+LSUE!C46+LSUS!C46+UNO!C46+'LSUHSC S'!C46+'EA CONWAY'!C49+'LSU AG'!C46+PENNINGTON!C46+'LSU LAW'!C46+'LSU HSC NO'!C46+LSUBOS!C46</f>
        <v>24542631</v>
      </c>
      <c r="D46" s="78">
        <f>LSUBR!D46+LSUA!D46+LSUE!D46+LSUS!D46+UNO!D46+'LSUHSC S'!D46+'EA CONWAY'!D49+'LSU AG'!D46+PENNINGTON!D46+'LSU LAW'!D46+'LSU HSC NO'!D46+LSUBOS!D46</f>
        <v>26362990</v>
      </c>
      <c r="E46" s="78">
        <f>LSUBR!E46+LSUA!E46+LSUE!E46+LSUS!E46+UNO!E46+'LSUHSC S'!E46+'EA CONWAY'!E49+'LSU AG'!E46+PENNINGTON!E46+'LSU LAW'!E46+'LSU HSC NO'!E46+LSUBOS!E46</f>
        <v>1820359</v>
      </c>
      <c r="F46" s="90">
        <f t="shared" si="1"/>
        <v>0.07417130624666932</v>
      </c>
    </row>
    <row r="47" spans="1:6" ht="91.5">
      <c r="A47" s="80" t="s">
        <v>23</v>
      </c>
      <c r="B47" s="78">
        <f>LSUBR!B47+LSUA!B47+LSUE!B47+LSUS!B47+UNO!B47+'LSUHSC S'!B47+'EA CONWAY'!B50+'LSU AG'!B47+PENNINGTON!B47+'LSU LAW'!B47+'LSU HSC NO'!B47+LSUBOS!B47</f>
        <v>148292320</v>
      </c>
      <c r="C47" s="78">
        <f>LSUBR!C47+LSUA!C47+LSUE!C47+LSUS!C47+UNO!C47+'LSUHSC S'!C47+'EA CONWAY'!C50+'LSU AG'!C47+PENNINGTON!C47+'LSU LAW'!C47+'LSU HSC NO'!C47+LSUBOS!C47</f>
        <v>147173689</v>
      </c>
      <c r="D47" s="78">
        <f>LSUBR!D47+LSUA!D47+LSUE!D47+LSUS!D47+UNO!D47+'LSUHSC S'!D47+'EA CONWAY'!D50+'LSU AG'!D47+PENNINGTON!D47+'LSU LAW'!D47+'LSU HSC NO'!D47+LSUBOS!D47</f>
        <v>127498809</v>
      </c>
      <c r="E47" s="78">
        <f>LSUBR!E47+LSUA!E47+LSUE!E47+LSUS!E47+UNO!E47+'LSUHSC S'!E47+'EA CONWAY'!E50+'LSU AG'!E47+PENNINGTON!E47+'LSU LAW'!E47+'LSU HSC NO'!E47+LSUBOS!E47</f>
        <v>-19674880</v>
      </c>
      <c r="F47" s="90">
        <f t="shared" si="1"/>
        <v>-0.13368476480874242</v>
      </c>
    </row>
    <row r="48" spans="1:6" ht="91.5">
      <c r="A48" s="80" t="s">
        <v>24</v>
      </c>
      <c r="B48" s="78">
        <f>LSUBR!B48+LSUA!B48+LSUE!B48+LSUS!B48+UNO!B48+'LSUHSC S'!B48+'EA CONWAY'!B51+'LSU AG'!B48+PENNINGTON!B48+'LSU LAW'!B48+'LSU HSC NO'!B48+LSUBOS!B48</f>
        <v>36151322</v>
      </c>
      <c r="C48" s="78">
        <f>LSUBR!C48+LSUA!C48+LSUE!C48+LSUS!C48+UNO!C48+'LSUHSC S'!C48+'EA CONWAY'!C51+'LSU AG'!C48+PENNINGTON!C48+'LSU LAW'!C48+'LSU HSC NO'!C48+LSUBOS!C48</f>
        <v>43515965</v>
      </c>
      <c r="D48" s="78">
        <f>LSUBR!D48+LSUA!D48+LSUE!D48+LSUS!D48+UNO!D48+'LSUHSC S'!D48+'EA CONWAY'!D51+'LSU AG'!D48+PENNINGTON!D48+'LSU LAW'!D48+'LSU HSC NO'!D48+LSUBOS!D48</f>
        <v>43899746</v>
      </c>
      <c r="E48" s="78">
        <f>LSUBR!E48+LSUA!E48+LSUE!E48+LSUS!E48+UNO!E48+'LSUHSC S'!E48+'EA CONWAY'!E51+'LSU AG'!E48+PENNINGTON!E48+'LSU LAW'!E48+'LSU HSC NO'!E48+LSUBOS!E48</f>
        <v>383781</v>
      </c>
      <c r="F48" s="90">
        <f t="shared" si="1"/>
        <v>0.008819314934185649</v>
      </c>
    </row>
    <row r="49" spans="1:6" ht="91.5">
      <c r="A49" s="80" t="s">
        <v>25</v>
      </c>
      <c r="B49" s="78">
        <f>LSUBR!B49+LSUA!B49+LSUE!B49+LSUS!B49+UNO!B49+'LSUHSC S'!B49+'EA CONWAY'!B52+'LSU AG'!B49+PENNINGTON!B49+'LSU LAW'!B49+'LSU HSC NO'!B49+LSUBOS!B49</f>
        <v>109759880</v>
      </c>
      <c r="C49" s="78">
        <f>LSUBR!C49+LSUA!C49+LSUE!C49+LSUS!C49+UNO!C49+'LSUHSC S'!C49+'EA CONWAY'!C52+'LSU AG'!C49+PENNINGTON!C49+'LSU LAW'!C49+'LSU HSC NO'!C49+LSUBOS!C49</f>
        <v>109476363</v>
      </c>
      <c r="D49" s="78">
        <f>LSUBR!D49+LSUA!D49+LSUE!D49+LSUS!D49+UNO!D49+'LSUHSC S'!D49+'EA CONWAY'!D52+'LSU AG'!D49+PENNINGTON!D49+'LSU LAW'!D49+'LSU HSC NO'!D49+LSUBOS!D49</f>
        <v>114543715</v>
      </c>
      <c r="E49" s="78">
        <f>LSUBR!E49+LSUA!E49+LSUE!E49+LSUS!E49+UNO!E49+'LSUHSC S'!E49+'EA CONWAY'!E52+'LSU AG'!E49+PENNINGTON!E49+'LSU LAW'!E49+'LSU HSC NO'!E49+LSUBOS!E49</f>
        <v>5067352</v>
      </c>
      <c r="F49" s="90">
        <f t="shared" si="1"/>
        <v>0.04628717890454582</v>
      </c>
    </row>
    <row r="50" spans="1:6" ht="91.5">
      <c r="A50" s="93" t="s">
        <v>26</v>
      </c>
      <c r="B50" s="83">
        <f>SUM(B42:B49)</f>
        <v>1001545810</v>
      </c>
      <c r="C50" s="83">
        <f>SUM(C42:C49)</f>
        <v>1059313373</v>
      </c>
      <c r="D50" s="83">
        <f>SUM(D42:D49)</f>
        <v>1090555540</v>
      </c>
      <c r="E50" s="83">
        <f>SUM(E42:E49)</f>
        <v>31242167</v>
      </c>
      <c r="F50" s="87">
        <f t="shared" si="1"/>
        <v>0.02949284677821206</v>
      </c>
    </row>
    <row r="51" spans="1:6" ht="91.5">
      <c r="A51" s="80" t="s">
        <v>27</v>
      </c>
      <c r="B51" s="78">
        <f>LSUBR!B51+LSUA!B51+LSUE!B51+LSUS!B51+UNO!B51+'LSUHSC S'!B51+'EA CONWAY'!B54+'LSU AG'!B51+PENNINGTON!B51+'LSU LAW'!B51+'LSU HSC NO'!B51+LSUBOS!B51</f>
        <v>369497505</v>
      </c>
      <c r="C51" s="78">
        <f>LSUBR!C51+LSUA!C51+LSUE!C51+LSUS!C51+UNO!C51+'LSUHSC S'!C51+'EA CONWAY'!C54+'LSU AG'!C51+PENNINGTON!C51+'LSU LAW'!C51+'LSU HSC NO'!C51+LSUBOS!C51</f>
        <v>366764506</v>
      </c>
      <c r="D51" s="78">
        <f>LSUBR!D51+LSUA!D51+LSUE!D51+LSUS!D51+UNO!D51+'LSUHSC S'!D51+'EA CONWAY'!D54+'LSU AG'!D51+PENNINGTON!D51+'LSU LAW'!D51+'LSU HSC NO'!D51+LSUBOS!D51</f>
        <v>447890946</v>
      </c>
      <c r="E51" s="78">
        <f>LSUBR!E51+LSUA!E51+LSUE!E51+LSUS!E51+UNO!E51+'LSUHSC S'!E51+'EA CONWAY'!E54+'LSU AG'!E51+PENNINGTON!E51+'LSU LAW'!E51+'LSU HSC NO'!E51+LSUBOS!E51</f>
        <v>81126440</v>
      </c>
      <c r="F51" s="90">
        <f t="shared" si="1"/>
        <v>0.22119490483083987</v>
      </c>
    </row>
    <row r="52" spans="1:6" ht="91.5">
      <c r="A52" s="80" t="s">
        <v>28</v>
      </c>
      <c r="B52" s="78">
        <f>LSUBR!B52+LSUA!B52+LSUE!B52+LSUS!B52+UNO!B52+'LSUHSC S'!B52+'EA CONWAY'!B55+'LSU AG'!B52+PENNINGTON!B52+'LSU LAW'!B52+'LSU HSC NO'!B52+LSUBOS!B52</f>
        <v>6087110</v>
      </c>
      <c r="C52" s="78">
        <f>LSUBR!C52+LSUA!C52+LSUE!C52+LSUS!C52+UNO!C52+'LSUHSC S'!C52+'EA CONWAY'!C55+'LSU AG'!C52+PENNINGTON!C52+'LSU LAW'!C52+'LSU HSC NO'!C52+LSUBOS!C52</f>
        <v>1024777</v>
      </c>
      <c r="D52" s="78">
        <f>LSUBR!D52+LSUA!D52+LSUE!D52+LSUS!D52+UNO!D52+'LSUHSC S'!D52+'EA CONWAY'!D55+'LSU AG'!D52+PENNINGTON!D52+'LSU LAW'!D52+'LSU HSC NO'!D52+LSUBOS!D52</f>
        <v>896392</v>
      </c>
      <c r="E52" s="78">
        <f>LSUBR!E52+LSUA!E52+LSUE!E52+LSUS!E52+UNO!E52+'LSUHSC S'!E52+'EA CONWAY'!E55+'LSU AG'!E52+PENNINGTON!E52+'LSU LAW'!E52+'LSU HSC NO'!E52+LSUBOS!E52</f>
        <v>-128385</v>
      </c>
      <c r="F52" s="90">
        <f t="shared" si="1"/>
        <v>-0.12528091477462902</v>
      </c>
    </row>
    <row r="53" spans="1:6" ht="91.5">
      <c r="A53" s="80" t="s">
        <v>29</v>
      </c>
      <c r="B53" s="78">
        <f>LSUBR!B53+LSUA!B53+LSUE!B53+LSUS!B53+UNO!B53+'LSUHSC S'!B53+'EA CONWAY'!B56+'LSU AG'!B53+PENNINGTON!B53+'LSU LAW'!B53+'LSU HSC NO'!B53+LSUBOS!B53</f>
        <v>180000</v>
      </c>
      <c r="C53" s="78">
        <f>LSUBR!C53+LSUA!C53+LSUE!C53+LSUS!C53+UNO!C53+'LSUHSC S'!C53+'EA CONWAY'!C56+'LSU AG'!C53+PENNINGTON!C53+'LSU LAW'!C53+'LSU HSC NO'!C53+LSUBOS!C53</f>
        <v>100000</v>
      </c>
      <c r="D53" s="78">
        <f>LSUBR!D53+LSUA!D53+LSUE!D53+LSUS!D53+UNO!D53+'LSUHSC S'!D53+'EA CONWAY'!D56+'LSU AG'!D53+PENNINGTON!D53+'LSU LAW'!D53+'LSU HSC NO'!D53+LSUBOS!D53</f>
        <v>180000</v>
      </c>
      <c r="E53" s="78">
        <f>LSUBR!E53+LSUA!E53+LSUE!E53+LSUS!E53+UNO!E53+'LSUHSC S'!E53+'EA CONWAY'!E56+'LSU AG'!E53+PENNINGTON!E53+'LSU LAW'!E53+'LSU HSC NO'!E53+LSUBOS!E53</f>
        <v>80000</v>
      </c>
      <c r="F53" s="90">
        <f t="shared" si="1"/>
        <v>0.8</v>
      </c>
    </row>
    <row r="54" spans="1:6" ht="91.5">
      <c r="A54" s="80" t="s">
        <v>30</v>
      </c>
      <c r="B54" s="78">
        <f>LSUBR!B54+LSUA!B54+LSUE!B54+LSUS!B54+UNO!B54+'LSUHSC S'!B54+'EA CONWAY'!B57+'LSU AG'!B54+PENNINGTON!B54+'LSU LAW'!B54+'LSU HSC NO'!B54+LSUBOS!B54</f>
        <v>17554</v>
      </c>
      <c r="C54" s="78">
        <f>LSUBR!C54+LSUA!C54+LSUE!C54+LSUS!C54+UNO!C54+'LSUHSC S'!C54+'EA CONWAY'!C57+'LSU AG'!C54+PENNINGTON!C54+'LSU LAW'!C54+'LSU HSC NO'!C54+LSUBOS!C54</f>
        <v>15000</v>
      </c>
      <c r="D54" s="78">
        <f>LSUBR!D54+LSUA!D54+LSUE!D54+LSUS!D54+UNO!D54+'LSUHSC S'!D54+'EA CONWAY'!D57+'LSU AG'!D54+PENNINGTON!D54+'LSU LAW'!D54+'LSU HSC NO'!D54+LSUBOS!D54</f>
        <v>15000</v>
      </c>
      <c r="E54" s="78">
        <f>LSUBR!E54+LSUA!E54+LSUE!E54+LSUS!E54+UNO!E54+'LSUHSC S'!E54+'EA CONWAY'!E57+'LSU AG'!E54+PENNINGTON!E54+'LSU LAW'!E54+'LSU HSC NO'!E54+LSUBOS!E54</f>
        <v>0</v>
      </c>
      <c r="F54" s="90">
        <f t="shared" si="1"/>
        <v>0</v>
      </c>
    </row>
    <row r="55" spans="1:6" ht="91.5">
      <c r="A55" s="94" t="s">
        <v>31</v>
      </c>
      <c r="B55" s="85">
        <f>B54+B53+B52+B51+B50</f>
        <v>1377327979</v>
      </c>
      <c r="C55" s="85">
        <f>C54+C53+C52+C51+C50</f>
        <v>1427217656</v>
      </c>
      <c r="D55" s="85">
        <f>D54+D53+D52+D51+D50</f>
        <v>1539537878</v>
      </c>
      <c r="E55" s="85">
        <f>E54+E53+E52+E51+E50</f>
        <v>112320222</v>
      </c>
      <c r="F55" s="95">
        <f t="shared" si="1"/>
        <v>0.07869873353080212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f>LSUBR!B57+LSUA!B57+LSUE!B57+LSUS!B57+UNO!B57+'LSUHSC S'!B57+'EA CONWAY'!B61+'LSU AG'!B57+PENNINGTON!B57+'LSU LAW'!B57+'LSU HSC NO'!B57+LSUBOS!B57</f>
        <v>663724103</v>
      </c>
      <c r="C57" s="78">
        <f>LSUBR!C57+LSUA!C57+LSUE!C57+LSUS!C57+UNO!C57+'LSUHSC S'!C57+'EA CONWAY'!C61+'LSU AG'!C57+PENNINGTON!C57+'LSU LAW'!C57+'LSU HSC NO'!C57+LSUBOS!C57</f>
        <v>703982904</v>
      </c>
      <c r="D57" s="78">
        <f>LSUBR!D57+LSUA!D57+LSUE!D57+LSUS!D57+UNO!D57+'LSUHSC S'!D57+'EA CONWAY'!D61+'LSU AG'!D57+PENNINGTON!D57+'LSU LAW'!D57+'LSU HSC NO'!D57+LSUBOS!D57</f>
        <v>778300244</v>
      </c>
      <c r="E57" s="78">
        <f>LSUBR!E57+LSUA!E57+LSUE!E57+LSUS!E57+UNO!E57+'LSUHSC S'!E57+'EA CONWAY'!E61+'LSU AG'!E57+PENNINGTON!E57+'LSU LAW'!E57+'LSU HSC NO'!E57+LSUBOS!E57</f>
        <v>74317340</v>
      </c>
      <c r="F57" s="92">
        <f aca="true" t="shared" si="2" ref="F57:F74">IF(ISERROR(E57/C57),0,(E57/C57))</f>
        <v>0.1055669670069147</v>
      </c>
    </row>
    <row r="58" spans="1:6" ht="91.5">
      <c r="A58" s="80" t="s">
        <v>34</v>
      </c>
      <c r="B58" s="78">
        <f>LSUBR!B58+LSUA!B58+LSUE!B58+LSUS!B58+UNO!B58+'LSUHSC S'!B58+'EA CONWAY'!B62+'LSU AG'!B58+PENNINGTON!B58+'LSU LAW'!B58+'LSU HSC NO'!B58+LSUBOS!B58</f>
        <v>56866456</v>
      </c>
      <c r="C58" s="78">
        <f>LSUBR!C58+LSUA!C58+LSUE!C58+LSUS!C58+UNO!C58+'LSUHSC S'!C58+'EA CONWAY'!C62+'LSU AG'!C58+PENNINGTON!C58+'LSU LAW'!C58+'LSU HSC NO'!C58+LSUBOS!C58</f>
        <v>56792273</v>
      </c>
      <c r="D58" s="78">
        <f>LSUBR!D58+LSUA!D58+LSUE!D58+LSUS!D58+UNO!D58+'LSUHSC S'!D58+'EA CONWAY'!D62+'LSU AG'!D58+PENNINGTON!D58+'LSU LAW'!D58+'LSU HSC NO'!D58+LSUBOS!D58</f>
        <v>60368538</v>
      </c>
      <c r="E58" s="78">
        <f>LSUBR!E58+LSUA!E58+LSUE!E58+LSUS!E58+UNO!E58+'LSUHSC S'!E58+'EA CONWAY'!E62+'LSU AG'!E58+PENNINGTON!E58+'LSU LAW'!E58+'LSU HSC NO'!E58+LSUBOS!E58</f>
        <v>3576265</v>
      </c>
      <c r="F58" s="90">
        <f t="shared" si="2"/>
        <v>0.06297097846391884</v>
      </c>
    </row>
    <row r="59" spans="1:6" ht="91.5">
      <c r="A59" s="80" t="s">
        <v>35</v>
      </c>
      <c r="B59" s="78">
        <f>LSUBR!B59+LSUA!B59+LSUE!B59+LSUS!B59+UNO!B59+'LSUHSC S'!B59+'EA CONWAY'!B63+'LSU AG'!B59+PENNINGTON!B59+'LSU LAW'!B59+'LSU HSC NO'!B59+LSUBOS!B59</f>
        <v>184867996</v>
      </c>
      <c r="C59" s="78">
        <f>LSUBR!C59+LSUA!C59+LSUE!C59+LSUS!C59+UNO!C59+'LSUHSC S'!C59+'EA CONWAY'!C63+'LSU AG'!C59+PENNINGTON!C59+'LSU LAW'!C59+'LSU HSC NO'!C59+LSUBOS!C59</f>
        <v>205063152</v>
      </c>
      <c r="D59" s="78">
        <f>LSUBR!D59+LSUA!D59+LSUE!D59+LSUS!D59+UNO!D59+'LSUHSC S'!D59+'EA CONWAY'!D63+'LSU AG'!D59+PENNINGTON!D59+'LSU LAW'!D59+'LSU HSC NO'!D59+LSUBOS!D59</f>
        <v>235120858</v>
      </c>
      <c r="E59" s="78">
        <f>LSUBR!E59+LSUA!E59+LSUE!E59+LSUS!E59+UNO!E59+'LSUHSC S'!E59+'EA CONWAY'!E63+'LSU AG'!E59+PENNINGTON!E59+'LSU LAW'!E59+'LSU HSC NO'!E59+LSUBOS!E59</f>
        <v>30057706</v>
      </c>
      <c r="F59" s="90">
        <f t="shared" si="2"/>
        <v>0.1465778015545182</v>
      </c>
    </row>
    <row r="60" spans="1:6" ht="91.5">
      <c r="A60" s="93" t="s">
        <v>36</v>
      </c>
      <c r="B60" s="96">
        <f>SUM(B57:B59)</f>
        <v>905458555</v>
      </c>
      <c r="C60" s="96">
        <f>SUM(C57:C59)</f>
        <v>965838329</v>
      </c>
      <c r="D60" s="96">
        <f>SUM(D57:D59)</f>
        <v>1073789640</v>
      </c>
      <c r="E60" s="96">
        <f>SUM(E57:E59)</f>
        <v>107951311</v>
      </c>
      <c r="F60" s="97">
        <f t="shared" si="2"/>
        <v>0.11176954543911044</v>
      </c>
    </row>
    <row r="61" spans="1:6" ht="91.5">
      <c r="A61" s="80" t="s">
        <v>37</v>
      </c>
      <c r="B61" s="78">
        <f>LSUBR!B61+LSUA!B61+LSUE!B61+LSUS!B61+UNO!B61+'LSUHSC S'!B61+'EA CONWAY'!B65+'LSU AG'!B61+PENNINGTON!B61+'LSU LAW'!B61+'LSU HSC NO'!B61+LSUBOS!B61</f>
        <v>9243531</v>
      </c>
      <c r="C61" s="78">
        <f>LSUBR!C61+LSUA!C61+LSUE!C61+LSUS!C61+UNO!C61+'LSUHSC S'!C61+'EA CONWAY'!C65+'LSU AG'!C61+PENNINGTON!C61+'LSU LAW'!C61+'LSU HSC NO'!C61+LSUBOS!C61</f>
        <v>8296646</v>
      </c>
      <c r="D61" s="78">
        <f>LSUBR!D61+LSUA!D61+LSUE!D61+LSUS!D61+UNO!D61+'LSUHSC S'!D61+'EA CONWAY'!D65+'LSU AG'!D61+PENNINGTON!D61+'LSU LAW'!D61+'LSU HSC NO'!D61+LSUBOS!D61</f>
        <v>8867784</v>
      </c>
      <c r="E61" s="78">
        <f>LSUBR!E61+LSUA!E61+LSUE!E61+LSUS!E61+UNO!E61+'LSUHSC S'!E61+'EA CONWAY'!E65+'LSU AG'!E61+PENNINGTON!E61+'LSU LAW'!E61+'LSU HSC NO'!E61+LSUBOS!E61</f>
        <v>571138</v>
      </c>
      <c r="F61" s="90">
        <f t="shared" si="2"/>
        <v>0.06883962507258957</v>
      </c>
    </row>
    <row r="62" spans="1:6" ht="91.5">
      <c r="A62" s="80" t="s">
        <v>38</v>
      </c>
      <c r="B62" s="78">
        <f>LSUBR!B62+LSUA!B62+LSUE!B62+LSUS!B62+UNO!B62+'LSUHSC S'!B62+'EA CONWAY'!B66+'LSU AG'!B62+PENNINGTON!B62+'LSU LAW'!B62+'LSU HSC NO'!B62+LSUBOS!B62</f>
        <v>119368710</v>
      </c>
      <c r="C62" s="78">
        <f>LSUBR!C62+LSUA!C62+LSUE!C62+LSUS!C62+UNO!C62+'LSUHSC S'!C62+'EA CONWAY'!C66+'LSU AG'!C62+PENNINGTON!C62+'LSU LAW'!C62+'LSU HSC NO'!C62+LSUBOS!C62</f>
        <v>119271263</v>
      </c>
      <c r="D62" s="78">
        <f>LSUBR!D62+LSUA!D62+LSUE!D62+LSUS!D62+UNO!D62+'LSUHSC S'!D62+'EA CONWAY'!D66+'LSU AG'!D62+PENNINGTON!D62+'LSU LAW'!D62+'LSU HSC NO'!D62+LSUBOS!D62</f>
        <v>129472152</v>
      </c>
      <c r="E62" s="78">
        <f>LSUBR!E62+LSUA!E62+LSUE!E62+LSUS!E62+UNO!E62+'LSUHSC S'!E62+'EA CONWAY'!E66+'LSU AG'!E62+PENNINGTON!E62+'LSU LAW'!E62+'LSU HSC NO'!E62+LSUBOS!E62</f>
        <v>10200889</v>
      </c>
      <c r="F62" s="90">
        <f t="shared" si="2"/>
        <v>0.08552679617386126</v>
      </c>
    </row>
    <row r="63" spans="1:6" ht="91.5">
      <c r="A63" s="80" t="s">
        <v>39</v>
      </c>
      <c r="B63" s="78">
        <f>LSUBR!B63+LSUA!B63+LSUE!B63+LSUS!B63+UNO!B63+'LSUHSC S'!B63+'EA CONWAY'!B67+'LSU AG'!B63+PENNINGTON!B63+'LSU LAW'!B63+'LSU HSC NO'!B63+LSUBOS!B63</f>
        <v>126651070</v>
      </c>
      <c r="C63" s="78">
        <f>LSUBR!C63+LSUA!C63+LSUE!C63+LSUS!C63+UNO!C63+'LSUHSC S'!C63+'EA CONWAY'!C67+'LSU AG'!C63+PENNINGTON!C63+'LSU LAW'!C63+'LSU HSC NO'!C63+LSUBOS!C63</f>
        <v>117547744</v>
      </c>
      <c r="D63" s="78">
        <f>LSUBR!D63+LSUA!D63+LSUE!D63+LSUS!D63+UNO!D63+'LSUHSC S'!D63+'EA CONWAY'!D67+'LSU AG'!D63+PENNINGTON!D63+'LSU LAW'!D63+'LSU HSC NO'!D63+LSUBOS!D63</f>
        <v>130011707</v>
      </c>
      <c r="E63" s="78">
        <f>LSUBR!E63+LSUA!E63+LSUE!E63+LSUS!E63+UNO!E63+'LSUHSC S'!E63+'EA CONWAY'!E67+'LSU AG'!E63+PENNINGTON!E63+'LSU LAW'!E63+'LSU HSC NO'!E63+LSUBOS!E63</f>
        <v>12463963</v>
      </c>
      <c r="F63" s="90">
        <f t="shared" si="2"/>
        <v>0.10603319617941796</v>
      </c>
    </row>
    <row r="64" spans="1:6" ht="91.5">
      <c r="A64" s="76" t="s">
        <v>40</v>
      </c>
      <c r="B64" s="83">
        <f>SUM(B61:B63)</f>
        <v>255263311</v>
      </c>
      <c r="C64" s="83">
        <f>SUM(C61:C63)</f>
        <v>245115653</v>
      </c>
      <c r="D64" s="83">
        <f>SUM(D61:D63)</f>
        <v>268351643</v>
      </c>
      <c r="E64" s="83">
        <f>SUM(E61:E63)</f>
        <v>23235990</v>
      </c>
      <c r="F64" s="87">
        <f t="shared" si="2"/>
        <v>0.09479602675558219</v>
      </c>
    </row>
    <row r="65" spans="1:6" ht="91.5">
      <c r="A65" s="80" t="s">
        <v>41</v>
      </c>
      <c r="B65" s="78">
        <f>LSUBR!B65+LSUA!B65+LSUE!B65+LSUS!B65+UNO!B65+'LSUHSC S'!B65+'EA CONWAY'!B69+'LSU AG'!B65+PENNINGTON!B65+'LSU LAW'!B65+'LSU HSC NO'!B65+LSUBOS!B65</f>
        <v>14516186</v>
      </c>
      <c r="C65" s="78">
        <f>LSUBR!C65+LSUA!C65+LSUE!C65+LSUS!C65+UNO!C65+'LSUHSC S'!C65+'EA CONWAY'!C69+'LSU AG'!C65+PENNINGTON!C65+'LSU LAW'!C65+'LSU HSC NO'!C65+LSUBOS!C65</f>
        <v>12034974</v>
      </c>
      <c r="D65" s="78">
        <f>LSUBR!D65+LSUA!D65+LSUE!D65+LSUS!D65+UNO!D65+'LSUHSC S'!D65+'EA CONWAY'!D69+'LSU AG'!D65+PENNINGTON!D65+'LSU LAW'!D65+'LSU HSC NO'!D65+LSUBOS!D65</f>
        <v>27316095</v>
      </c>
      <c r="E65" s="78">
        <f>LSUBR!E65+LSUA!E65+LSUE!E65+LSUS!E65+UNO!E65+'LSUHSC S'!E65+'EA CONWAY'!E69+'LSU AG'!E65+PENNINGTON!E65+'LSU LAW'!E65+'LSU HSC NO'!E65+LSUBOS!E65</f>
        <v>15281121</v>
      </c>
      <c r="F65" s="90">
        <f t="shared" si="2"/>
        <v>1.2697261331848329</v>
      </c>
    </row>
    <row r="66" spans="1:6" ht="91.5">
      <c r="A66" s="80" t="s">
        <v>42</v>
      </c>
      <c r="B66" s="78">
        <f>LSUBR!B66+LSUA!B66+LSUE!B66+LSUS!B66+UNO!B66+'LSUHSC S'!B66+'EA CONWAY'!B70+'LSU AG'!B66+PENNINGTON!B66+'LSU LAW'!B66+'LSU HSC NO'!B66+LSUBOS!B66</f>
        <v>107160591</v>
      </c>
      <c r="C66" s="78">
        <f>LSUBR!C66+LSUA!C66+LSUE!C66+LSUS!C66+UNO!C66+'LSUHSC S'!C66+'EA CONWAY'!C70+'LSU AG'!C66+PENNINGTON!C66+'LSU LAW'!C66+'LSU HSC NO'!C66+LSUBOS!C66</f>
        <v>110029124</v>
      </c>
      <c r="D66" s="78">
        <f>LSUBR!D66+LSUA!D66+LSUE!D66+LSUS!D66+UNO!D66+'LSUHSC S'!D66+'EA CONWAY'!D70+'LSU AG'!D66+PENNINGTON!D66+'LSU LAW'!D66+'LSU HSC NO'!D66+LSUBOS!D66</f>
        <v>79457532</v>
      </c>
      <c r="E66" s="78">
        <f>LSUBR!E66+LSUA!E66+LSUE!E66+LSUS!E66+UNO!E66+'LSUHSC S'!E66+'EA CONWAY'!E70+'LSU AG'!E66+PENNINGTON!E66+'LSU LAW'!E66+'LSU HSC NO'!E66+LSUBOS!E66</f>
        <v>-30571592</v>
      </c>
      <c r="F66" s="90">
        <f t="shared" si="2"/>
        <v>-0.2778499990602488</v>
      </c>
    </row>
    <row r="67" spans="1:6" ht="91.5">
      <c r="A67" s="80" t="s">
        <v>43</v>
      </c>
      <c r="B67" s="78">
        <f>LSUBR!B67+LSUA!B67+LSUE!B67+LSUS!B67+UNO!B67+'LSUHSC S'!B67+'EA CONWAY'!B71+'LSU AG'!B67+PENNINGTON!B67+'LSU LAW'!B67+'LSU HSC NO'!B67+LSUBOS!B67</f>
        <v>398335</v>
      </c>
      <c r="C67" s="78">
        <f>LSUBR!C67+LSUA!C67+LSUE!C67+LSUS!C67+UNO!C67+'LSUHSC S'!C67+'EA CONWAY'!C71+'LSU AG'!C67+PENNINGTON!C67+'LSU LAW'!C67+'LSU HSC NO'!C67+LSUBOS!C67</f>
        <v>386015</v>
      </c>
      <c r="D67" s="78">
        <f>LSUBR!D67+LSUA!D67+LSUE!D67+LSUS!D67+UNO!D67+'LSUHSC S'!D67+'EA CONWAY'!D71+'LSU AG'!D67+PENNINGTON!D67+'LSU LAW'!D67+'LSU HSC NO'!D67+LSUBOS!D67</f>
        <v>260733</v>
      </c>
      <c r="E67" s="78">
        <f>LSUBR!E67+LSUA!E67+LSUE!E67+LSUS!E67+UNO!E67+'LSUHSC S'!E67+'EA CONWAY'!E71+'LSU AG'!E67+PENNINGTON!E67+'LSU LAW'!E67+'LSU HSC NO'!E67+LSUBOS!E67</f>
        <v>-125282</v>
      </c>
      <c r="F67" s="90">
        <f t="shared" si="2"/>
        <v>-0.3245521547090139</v>
      </c>
    </row>
    <row r="68" spans="1:6" ht="91.5">
      <c r="A68" s="80" t="s">
        <v>44</v>
      </c>
      <c r="B68" s="78">
        <f>LSUBR!B68+LSUA!B68+LSUE!B68+LSUS!B68+UNO!B68+'LSUHSC S'!B68+'EA CONWAY'!B72+'LSU AG'!B68+PENNINGTON!B68+'LSU LAW'!B68+'LSU HSC NO'!B68+LSUBOS!B68</f>
        <v>51564606</v>
      </c>
      <c r="C68" s="78">
        <f>LSUBR!C68+LSUA!C68+LSUE!C68+LSUS!C68+UNO!C68+'LSUHSC S'!C68+'EA CONWAY'!C72+'LSU AG'!C68+PENNINGTON!C68+'LSU LAW'!C68+'LSU HSC NO'!C68+LSUBOS!C68</f>
        <v>55498607</v>
      </c>
      <c r="D68" s="78">
        <f>LSUBR!D68+LSUA!D68+LSUE!D68+LSUS!D68+UNO!D68+'LSUHSC S'!D68+'EA CONWAY'!D72+'LSU AG'!D68+PENNINGTON!D68+'LSU LAW'!D68+'LSU HSC NO'!D68+LSUBOS!D68</f>
        <v>57236934</v>
      </c>
      <c r="E68" s="78">
        <f>LSUBR!E68+LSUA!E68+LSUE!E68+LSUS!E68+UNO!E68+'LSUHSC S'!E68+'EA CONWAY'!E72+'LSU AG'!E68+PENNINGTON!E68+'LSU LAW'!E68+'LSU HSC NO'!E68+LSUBOS!E68</f>
        <v>1738327</v>
      </c>
      <c r="F68" s="90">
        <f t="shared" si="2"/>
        <v>0.03132199336102256</v>
      </c>
    </row>
    <row r="69" spans="1:6" ht="91.5">
      <c r="A69" s="76" t="s">
        <v>45</v>
      </c>
      <c r="B69" s="85">
        <f>SUM(B65:B68)</f>
        <v>173639718</v>
      </c>
      <c r="C69" s="85">
        <f>SUM(C65:C68)</f>
        <v>177948720</v>
      </c>
      <c r="D69" s="85">
        <f>SUM(D65:D68)</f>
        <v>164271294</v>
      </c>
      <c r="E69" s="85">
        <f>SUM(E65:E68)</f>
        <v>-13677426</v>
      </c>
      <c r="F69" s="87">
        <f t="shared" si="2"/>
        <v>-0.07686161496413124</v>
      </c>
    </row>
    <row r="70" spans="1:6" ht="91.5">
      <c r="A70" s="80" t="s">
        <v>57</v>
      </c>
      <c r="B70" s="78">
        <f>LSUBR!B70+LSUA!B70+LSUE!B70+LSUS!B70+UNO!B70+'LSUHSC S'!B70+'EA CONWAY'!B74+'LSU AG'!B70+PENNINGTON!B70+'LSU LAW'!B70+'LSU HSC NO'!B70+LSUBOS!B70</f>
        <v>30938530</v>
      </c>
      <c r="C70" s="78">
        <f>LSUBR!C70+LSUA!C70+LSUE!C70+LSUS!C70+UNO!C70+'LSUHSC S'!C70+'EA CONWAY'!C74+'LSU AG'!C70+PENNINGTON!C70+'LSU LAW'!C70+'LSU HSC NO'!C70+LSUBOS!C70</f>
        <v>23426271</v>
      </c>
      <c r="D70" s="78">
        <f>LSUBR!D70+LSUA!D70+LSUE!D70+LSUS!D70+UNO!D70+'LSUHSC S'!D70+'EA CONWAY'!D74+'LSU AG'!D70+PENNINGTON!D70+'LSU LAW'!D70+'LSU HSC NO'!D70+LSUBOS!D70</f>
        <v>14531259</v>
      </c>
      <c r="E70" s="78">
        <f>LSUBR!E70+LSUA!E70+LSUE!E70+LSUS!E70+UNO!E70+'LSUHSC S'!E70+'EA CONWAY'!E74+'LSU AG'!E70+PENNINGTON!E70+'LSU LAW'!E70+'LSU HSC NO'!E70+LSUBOS!E70</f>
        <v>-8895012</v>
      </c>
      <c r="F70" s="90">
        <f t="shared" si="2"/>
        <v>-0.3797024289525209</v>
      </c>
    </row>
    <row r="71" spans="1:6" ht="91.5">
      <c r="A71" s="80" t="s">
        <v>46</v>
      </c>
      <c r="B71" s="78">
        <f>LSUBR!B71+LSUA!B71+LSUE!B71+LSUS!B71+UNO!B71+'LSUHSC S'!B71+'EA CONWAY'!B75+'LSU AG'!B71+PENNINGTON!B71+'LSU LAW'!B71+'LSU HSC NO'!B71+LSUBOS!B71</f>
        <v>10007792</v>
      </c>
      <c r="C71" s="78">
        <f>LSUBR!C71+LSUA!C71+LSUE!C71+LSUS!C71+UNO!C71+'LSUHSC S'!C71+'EA CONWAY'!C75+'LSU AG'!C71+PENNINGTON!C71+'LSU LAW'!C71+'LSU HSC NO'!C71+LSUBOS!C71</f>
        <v>11281683</v>
      </c>
      <c r="D71" s="78">
        <f>LSUBR!D71+LSUA!D71+LSUE!D71+LSUS!D71+UNO!D71+'LSUHSC S'!D71+'EA CONWAY'!D75+'LSU AG'!D71+PENNINGTON!D71+'LSU LAW'!D71+'LSU HSC NO'!D71+LSUBOS!D71</f>
        <v>11196601</v>
      </c>
      <c r="E71" s="78">
        <f>LSUBR!E71+LSUA!E71+LSUE!E71+LSUS!E71+UNO!E71+'LSUHSC S'!E71+'EA CONWAY'!E75+'LSU AG'!E71+PENNINGTON!E71+'LSU LAW'!E71+'LSU HSC NO'!E71+LSUBOS!E71</f>
        <v>-85082</v>
      </c>
      <c r="F71" s="90">
        <f t="shared" si="2"/>
        <v>-0.007541605272901215</v>
      </c>
    </row>
    <row r="72" spans="1:6" ht="91.5">
      <c r="A72" s="98" t="s">
        <v>47</v>
      </c>
      <c r="B72" s="78">
        <f>LSUBR!B72+LSUA!B72+LSUE!B72+LSUS!B72+UNO!B72+'LSUHSC S'!B72+'EA CONWAY'!B76+'LSU AG'!B72+PENNINGTON!B72+'LSU LAW'!B72+'LSU HSC NO'!B72+LSUBOS!B72</f>
        <v>2020073</v>
      </c>
      <c r="C72" s="78">
        <f>LSUBR!C72+LSUA!C72+LSUE!C72+LSUS!C72+UNO!C72+'LSUHSC S'!C72+'EA CONWAY'!C76+'LSU AG'!C72+PENNINGTON!C72+'LSU LAW'!C72+'LSU HSC NO'!C72+LSUBOS!C72</f>
        <v>3607000</v>
      </c>
      <c r="D72" s="78">
        <f>LSUBR!D72+LSUA!D72+LSUE!D72+LSUS!D72+UNO!D72+'LSUHSC S'!D72+'EA CONWAY'!D76+'LSU AG'!D72+PENNINGTON!D72+'LSU LAW'!D72+'LSU HSC NO'!D72+LSUBOS!D72</f>
        <v>7397441</v>
      </c>
      <c r="E72" s="78">
        <f>LSUBR!E72+LSUA!E72+LSUE!E72+LSUS!E72+UNO!E72+'LSUHSC S'!E72+'EA CONWAY'!E76+'LSU AG'!E72+PENNINGTON!E72+'LSU LAW'!E72+'LSU HSC NO'!E72+LSUBOS!E72</f>
        <v>3790441</v>
      </c>
      <c r="F72" s="90">
        <f t="shared" si="2"/>
        <v>1.0508569448294982</v>
      </c>
    </row>
    <row r="73" spans="1:6" ht="91.5">
      <c r="A73" s="99" t="s">
        <v>48</v>
      </c>
      <c r="B73" s="85">
        <f>SUM(B70:B72)</f>
        <v>42966395</v>
      </c>
      <c r="C73" s="85">
        <f>SUM(C70:C72)</f>
        <v>38314954</v>
      </c>
      <c r="D73" s="85">
        <f>SUM(D70:D72)</f>
        <v>33125301</v>
      </c>
      <c r="E73" s="85">
        <f>SUM(E70:E72)</f>
        <v>-5189653</v>
      </c>
      <c r="F73" s="95">
        <f t="shared" si="2"/>
        <v>-0.1354471938032341</v>
      </c>
    </row>
    <row r="74" spans="1:6" ht="91.5">
      <c r="A74" s="94" t="s">
        <v>31</v>
      </c>
      <c r="B74" s="85">
        <f>B73+B69+B64+B60</f>
        <v>1377327979</v>
      </c>
      <c r="C74" s="85">
        <f>C73+C69+C64+C60</f>
        <v>1427217656</v>
      </c>
      <c r="D74" s="85">
        <f>D73+D69+D64+D60</f>
        <v>1539537878</v>
      </c>
      <c r="E74" s="85">
        <f>E73+E69+E64+E60</f>
        <v>112320222</v>
      </c>
      <c r="F74" s="95">
        <f t="shared" si="2"/>
        <v>0.07869873353080212</v>
      </c>
    </row>
    <row r="75" ht="91.5">
      <c r="A75" s="56" t="s">
        <v>186</v>
      </c>
    </row>
    <row r="76" ht="91.5">
      <c r="F76" s="100"/>
    </row>
    <row r="77" spans="1:6" ht="91.5">
      <c r="A77" s="56" t="s">
        <v>0</v>
      </c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5" zoomScaleNormal="35" zoomScalePageLayoutView="0" workbookViewId="0" topLeftCell="B1">
      <selection activeCell="B3" sqref="B3"/>
    </sheetView>
  </sheetViews>
  <sheetFormatPr defaultColWidth="9.6640625" defaultRowHeight="15"/>
  <cols>
    <col min="1" max="1" width="255.77734375" style="56" bestFit="1" customWidth="1"/>
    <col min="2" max="4" width="67.77734375" style="51" bestFit="1" customWidth="1"/>
    <col min="5" max="5" width="110.88671875" style="51" bestFit="1" customWidth="1"/>
    <col min="6" max="6" width="48.99609375" style="57" bestFit="1" customWidth="1"/>
    <col min="7" max="16384" width="9.6640625" style="56" customWidth="1"/>
  </cols>
  <sheetData>
    <row r="1" spans="1:6" ht="91.5">
      <c r="A1" s="50" t="s">
        <v>3</v>
      </c>
      <c r="C1" s="52"/>
      <c r="D1" s="55" t="s">
        <v>6</v>
      </c>
      <c r="E1" s="55" t="s">
        <v>169</v>
      </c>
      <c r="F1" s="122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95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192726034</v>
      </c>
      <c r="C8" s="74">
        <v>192726034</v>
      </c>
      <c r="D8" s="74">
        <v>230053696</v>
      </c>
      <c r="E8" s="74">
        <f>D8-C8</f>
        <v>37327662</v>
      </c>
      <c r="F8" s="75">
        <f>E8/C8</f>
        <v>0.1936825099612645</v>
      </c>
    </row>
    <row r="9" spans="1:6" ht="91.5">
      <c r="A9" s="76" t="s">
        <v>60</v>
      </c>
      <c r="B9" s="74">
        <v>15310817</v>
      </c>
      <c r="C9" s="74">
        <f>SUM(C10:C22)</f>
        <v>15310817</v>
      </c>
      <c r="D9" s="74">
        <f>SUM(D10:D22)</f>
        <v>12655775</v>
      </c>
      <c r="E9" s="74">
        <f>D9-C9</f>
        <v>-2655042</v>
      </c>
      <c r="F9" s="75">
        <f>E9/C9</f>
        <v>-0.1734095574390315</v>
      </c>
    </row>
    <row r="10" spans="1:6" ht="91.5">
      <c r="A10" s="77" t="s">
        <v>61</v>
      </c>
      <c r="B10" s="78">
        <v>3217351</v>
      </c>
      <c r="C10" s="78">
        <v>3217351</v>
      </c>
      <c r="D10" s="78">
        <v>0</v>
      </c>
      <c r="E10" s="78">
        <f aca="true" t="shared" si="0" ref="E10:E30">D10-C10</f>
        <v>-3217351</v>
      </c>
      <c r="F10" s="79">
        <f>E10/C10</f>
        <v>-1</v>
      </c>
    </row>
    <row r="11" spans="1:6" ht="91.5">
      <c r="A11" s="80" t="s">
        <v>62</v>
      </c>
      <c r="B11" s="78">
        <v>8876153</v>
      </c>
      <c r="C11" s="78">
        <v>8876153</v>
      </c>
      <c r="D11" s="78">
        <v>9368462</v>
      </c>
      <c r="E11" s="78">
        <f t="shared" si="0"/>
        <v>492309</v>
      </c>
      <c r="F11" s="79">
        <f>E11/C11</f>
        <v>0.055464230956812036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v>0</v>
      </c>
    </row>
    <row r="16" spans="1:6" ht="91.5">
      <c r="A16" s="80" t="s">
        <v>63</v>
      </c>
      <c r="B16" s="78">
        <v>750000</v>
      </c>
      <c r="C16" s="78">
        <v>750000</v>
      </c>
      <c r="D16" s="78">
        <v>750000</v>
      </c>
      <c r="E16" s="78">
        <f t="shared" si="0"/>
        <v>0</v>
      </c>
      <c r="F16" s="79">
        <f>E16/C16</f>
        <v>0</v>
      </c>
    </row>
    <row r="17" spans="1:6" ht="91.5">
      <c r="A17" s="80" t="s">
        <v>64</v>
      </c>
      <c r="B17" s="78">
        <v>2327313</v>
      </c>
      <c r="C17" s="78">
        <v>2327313</v>
      </c>
      <c r="D17" s="78">
        <v>2327313</v>
      </c>
      <c r="E17" s="78">
        <f t="shared" si="0"/>
        <v>0</v>
      </c>
      <c r="F17" s="79">
        <f>E17/C17</f>
        <v>0</v>
      </c>
    </row>
    <row r="18" spans="1:6" ht="91.5">
      <c r="A18" s="80" t="s">
        <v>73</v>
      </c>
      <c r="B18" s="78">
        <v>140000</v>
      </c>
      <c r="C18" s="78">
        <v>140000</v>
      </c>
      <c r="D18" s="78">
        <v>210000</v>
      </c>
      <c r="E18" s="78">
        <f t="shared" si="0"/>
        <v>70000</v>
      </c>
      <c r="F18" s="79">
        <f>E18/C18</f>
        <v>0.5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 t="shared" si="0"/>
        <v>0</v>
      </c>
      <c r="F23" s="75"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 t="shared" si="0"/>
        <v>0</v>
      </c>
      <c r="F24" s="79"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 t="shared" si="0"/>
        <v>0</v>
      </c>
      <c r="F26" s="75"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v>0</v>
      </c>
    </row>
    <row r="29" spans="1:6" ht="91.5">
      <c r="A29" s="80" t="s">
        <v>170</v>
      </c>
      <c r="B29" s="78">
        <v>1130261</v>
      </c>
      <c r="C29" s="78">
        <v>1400000</v>
      </c>
      <c r="D29" s="78">
        <v>0</v>
      </c>
      <c r="E29" s="78">
        <f t="shared" si="0"/>
        <v>-1400000</v>
      </c>
      <c r="F29" s="79">
        <f>E29/C29</f>
        <v>-1</v>
      </c>
    </row>
    <row r="30" spans="1:6" ht="91.5">
      <c r="A30" s="76" t="s">
        <v>14</v>
      </c>
      <c r="B30" s="83">
        <f>B29+B28+B27+B25+B24+B9+B8</f>
        <v>209167112</v>
      </c>
      <c r="C30" s="86">
        <f>C29+C28+C27+C25+C24+C9+C8</f>
        <v>209436851</v>
      </c>
      <c r="D30" s="86">
        <f>D29+D28+D27+D25+D24+D9+D8</f>
        <v>242709471</v>
      </c>
      <c r="E30" s="86">
        <f t="shared" si="0"/>
        <v>33272620</v>
      </c>
      <c r="F30" s="87">
        <f>E30/C30</f>
        <v>0.15886707540307698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9805714</v>
      </c>
      <c r="C34" s="74">
        <v>10192667</v>
      </c>
      <c r="D34" s="74">
        <v>10826618</v>
      </c>
      <c r="E34" s="74">
        <f>D34-C34</f>
        <v>633951</v>
      </c>
      <c r="F34" s="75">
        <f>E34/C34</f>
        <v>0.062196773425443996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173866355</v>
      </c>
      <c r="C36" s="74">
        <v>183071504</v>
      </c>
      <c r="D36" s="74">
        <v>182848710</v>
      </c>
      <c r="E36" s="74">
        <f>D36-C36</f>
        <v>-222794</v>
      </c>
      <c r="F36" s="75">
        <f>E36/C36</f>
        <v>-0.0012169780393566877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392839181</v>
      </c>
      <c r="C40" s="120">
        <f>C38+C36+C34+C30</f>
        <v>402701022</v>
      </c>
      <c r="D40" s="120">
        <f>D38+D36+D34+D30</f>
        <v>436384799</v>
      </c>
      <c r="E40" s="120">
        <f>D40-C40</f>
        <v>33683777</v>
      </c>
      <c r="F40" s="121">
        <f>E40/C40</f>
        <v>0.0836446275520006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f>168798212-5</f>
        <v>168798207</v>
      </c>
      <c r="C42" s="78">
        <v>179295673</v>
      </c>
      <c r="D42" s="78">
        <v>195339873</v>
      </c>
      <c r="E42" s="78">
        <f aca="true" t="shared" si="1" ref="E42:E49">D42-C42</f>
        <v>16044200</v>
      </c>
      <c r="F42" s="92">
        <f>E42/C42</f>
        <v>0.08948459118698308</v>
      </c>
    </row>
    <row r="43" spans="1:6" ht="91.5">
      <c r="A43" s="80" t="s">
        <v>20</v>
      </c>
      <c r="B43" s="78">
        <v>54040693</v>
      </c>
      <c r="C43" s="78">
        <v>51081730</v>
      </c>
      <c r="D43" s="78">
        <v>56922791</v>
      </c>
      <c r="E43" s="78">
        <f t="shared" si="1"/>
        <v>5841061</v>
      </c>
      <c r="F43" s="90">
        <f>E43/C43</f>
        <v>0.11434736059252495</v>
      </c>
    </row>
    <row r="44" spans="1:6" ht="91.5">
      <c r="A44" s="80" t="s">
        <v>21</v>
      </c>
      <c r="B44" s="78">
        <v>8923213</v>
      </c>
      <c r="C44" s="78">
        <v>9297854</v>
      </c>
      <c r="D44" s="78">
        <v>10356313</v>
      </c>
      <c r="E44" s="78">
        <f t="shared" si="1"/>
        <v>1058459</v>
      </c>
      <c r="F44" s="90">
        <f aca="true" t="shared" si="2" ref="F44:F55">E44/C44</f>
        <v>0.11383906436904688</v>
      </c>
    </row>
    <row r="45" spans="1:6" ht="91.5">
      <c r="A45" s="80" t="s">
        <v>49</v>
      </c>
      <c r="B45" s="78">
        <v>53690959</v>
      </c>
      <c r="C45" s="78">
        <f>52716665-3</f>
        <v>52716662</v>
      </c>
      <c r="D45" s="78">
        <v>55579085</v>
      </c>
      <c r="E45" s="78">
        <f t="shared" si="1"/>
        <v>2862423</v>
      </c>
      <c r="F45" s="90">
        <f t="shared" si="2"/>
        <v>0.05429825962804701</v>
      </c>
    </row>
    <row r="46" spans="1:6" ht="91.5">
      <c r="A46" s="80" t="s">
        <v>22</v>
      </c>
      <c r="B46" s="78">
        <v>10271305</v>
      </c>
      <c r="C46" s="78">
        <v>10651082</v>
      </c>
      <c r="D46" s="78">
        <v>11420691</v>
      </c>
      <c r="E46" s="78">
        <f t="shared" si="1"/>
        <v>769609</v>
      </c>
      <c r="F46" s="90">
        <f t="shared" si="2"/>
        <v>0.07225641488817756</v>
      </c>
    </row>
    <row r="47" spans="1:6" ht="91.5">
      <c r="A47" s="80" t="s">
        <v>23</v>
      </c>
      <c r="B47" s="78">
        <v>23305339</v>
      </c>
      <c r="C47" s="78">
        <f>23744346-227916</f>
        <v>23516430</v>
      </c>
      <c r="D47" s="78">
        <v>27406786</v>
      </c>
      <c r="E47" s="78">
        <f t="shared" si="1"/>
        <v>3890356</v>
      </c>
      <c r="F47" s="90">
        <f t="shared" si="2"/>
        <v>0.1654314026406219</v>
      </c>
    </row>
    <row r="48" spans="1:6" ht="91.5">
      <c r="A48" s="80" t="s">
        <v>24</v>
      </c>
      <c r="B48" s="78">
        <v>23742251</v>
      </c>
      <c r="C48" s="78">
        <v>27932479</v>
      </c>
      <c r="D48" s="78">
        <v>28772479</v>
      </c>
      <c r="E48" s="78">
        <f t="shared" si="1"/>
        <v>840000</v>
      </c>
      <c r="F48" s="90">
        <f t="shared" si="2"/>
        <v>0.030072518805079922</v>
      </c>
    </row>
    <row r="49" spans="1:6" ht="91.5">
      <c r="A49" s="80" t="s">
        <v>25</v>
      </c>
      <c r="B49" s="78">
        <v>44579928</v>
      </c>
      <c r="C49" s="78">
        <v>47722112</v>
      </c>
      <c r="D49" s="78">
        <v>50099781</v>
      </c>
      <c r="E49" s="78">
        <f t="shared" si="1"/>
        <v>2377669</v>
      </c>
      <c r="F49" s="90">
        <f t="shared" si="2"/>
        <v>0.04982321402707408</v>
      </c>
    </row>
    <row r="50" spans="1:6" ht="91.5">
      <c r="A50" s="93" t="s">
        <v>26</v>
      </c>
      <c r="B50" s="83">
        <f>SUM(B42:B49)</f>
        <v>387351895</v>
      </c>
      <c r="C50" s="83">
        <f>SUM(C42:C49)</f>
        <v>402214022</v>
      </c>
      <c r="D50" s="83">
        <f>SUM(D42:D49)</f>
        <v>435897799</v>
      </c>
      <c r="E50" s="83">
        <f aca="true" t="shared" si="3" ref="E50:E55">D50-C50</f>
        <v>33683777</v>
      </c>
      <c r="F50" s="87">
        <f t="shared" si="2"/>
        <v>0.08374590431359949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3"/>
        <v>0</v>
      </c>
      <c r="F51" s="90">
        <v>0</v>
      </c>
    </row>
    <row r="52" spans="1:6" ht="91.5">
      <c r="A52" s="80" t="s">
        <v>28</v>
      </c>
      <c r="B52" s="78">
        <v>5487286</v>
      </c>
      <c r="C52" s="78">
        <v>487000</v>
      </c>
      <c r="D52" s="78">
        <v>487000</v>
      </c>
      <c r="E52" s="78">
        <f t="shared" si="3"/>
        <v>0</v>
      </c>
      <c r="F52" s="90">
        <f t="shared" si="2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 t="shared" si="3"/>
        <v>0</v>
      </c>
      <c r="F53" s="90"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 t="shared" si="3"/>
        <v>0</v>
      </c>
      <c r="F54" s="90">
        <v>0</v>
      </c>
    </row>
    <row r="55" spans="1:6" ht="91.5">
      <c r="A55" s="94" t="s">
        <v>31</v>
      </c>
      <c r="B55" s="85">
        <f>B54+B53+B52+B51+B50</f>
        <v>392839181</v>
      </c>
      <c r="C55" s="85">
        <f>C54+C53+C52+C51+C50</f>
        <v>402701022</v>
      </c>
      <c r="D55" s="85">
        <f>D54+D53+D52+D51+D50</f>
        <v>436384799</v>
      </c>
      <c r="E55" s="85">
        <f t="shared" si="3"/>
        <v>33683777</v>
      </c>
      <c r="F55" s="95">
        <f t="shared" si="2"/>
        <v>0.0836446275520006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f>206844138-5</f>
        <v>206844133</v>
      </c>
      <c r="C57" s="78">
        <v>216478414</v>
      </c>
      <c r="D57" s="78">
        <v>239482304</v>
      </c>
      <c r="E57" s="78">
        <f>D57-C57</f>
        <v>23003890</v>
      </c>
      <c r="F57" s="92">
        <f aca="true" t="shared" si="4" ref="F57:F64">E57/C57</f>
        <v>0.1062641284871941</v>
      </c>
    </row>
    <row r="58" spans="1:6" ht="91.5">
      <c r="A58" s="80" t="s">
        <v>34</v>
      </c>
      <c r="B58" s="78">
        <v>26763515</v>
      </c>
      <c r="C58" s="78">
        <v>27293959</v>
      </c>
      <c r="D58" s="78">
        <v>28239483</v>
      </c>
      <c r="E58" s="78">
        <f>D58-C58</f>
        <v>945524</v>
      </c>
      <c r="F58" s="90">
        <f t="shared" si="4"/>
        <v>0.03464224446149421</v>
      </c>
    </row>
    <row r="59" spans="1:6" ht="91.5">
      <c r="A59" s="80" t="s">
        <v>35</v>
      </c>
      <c r="B59" s="78">
        <v>61780392</v>
      </c>
      <c r="C59" s="78">
        <v>63775776</v>
      </c>
      <c r="D59" s="78">
        <v>73537072</v>
      </c>
      <c r="E59" s="78">
        <f>D59-C59</f>
        <v>9761296</v>
      </c>
      <c r="F59" s="90">
        <f t="shared" si="4"/>
        <v>0.1530564833895553</v>
      </c>
    </row>
    <row r="60" spans="1:6" ht="91.5">
      <c r="A60" s="93" t="s">
        <v>36</v>
      </c>
      <c r="B60" s="96">
        <f>SUM(B57:B59)</f>
        <v>295388040</v>
      </c>
      <c r="C60" s="96">
        <f>SUM(C57:C59)</f>
        <v>307548149</v>
      </c>
      <c r="D60" s="96">
        <f>SUM(D57:D59)</f>
        <v>341258859</v>
      </c>
      <c r="E60" s="96">
        <f aca="true" t="shared" si="5" ref="E60:E74">D60-C60</f>
        <v>33710710</v>
      </c>
      <c r="F60" s="97">
        <f t="shared" si="4"/>
        <v>0.10961116205579895</v>
      </c>
    </row>
    <row r="61" spans="1:6" ht="91.5">
      <c r="A61" s="80" t="s">
        <v>37</v>
      </c>
      <c r="B61" s="78">
        <v>3884539</v>
      </c>
      <c r="C61" s="78">
        <v>2457520</v>
      </c>
      <c r="D61" s="78">
        <v>3062353</v>
      </c>
      <c r="E61" s="78">
        <f t="shared" si="5"/>
        <v>604833</v>
      </c>
      <c r="F61" s="90">
        <f t="shared" si="4"/>
        <v>0.2461151892965266</v>
      </c>
    </row>
    <row r="62" spans="1:6" ht="91.5">
      <c r="A62" s="80" t="s">
        <v>38</v>
      </c>
      <c r="B62" s="78">
        <v>19452338</v>
      </c>
      <c r="C62" s="78">
        <v>21514946</v>
      </c>
      <c r="D62" s="78">
        <v>21313587</v>
      </c>
      <c r="E62" s="78">
        <f t="shared" si="5"/>
        <v>-201359</v>
      </c>
      <c r="F62" s="90">
        <f t="shared" si="4"/>
        <v>-0.00935902883511769</v>
      </c>
    </row>
    <row r="63" spans="1:6" ht="91.5">
      <c r="A63" s="80" t="s">
        <v>39</v>
      </c>
      <c r="B63" s="78">
        <v>16724198</v>
      </c>
      <c r="C63" s="78">
        <v>10313468</v>
      </c>
      <c r="D63" s="78">
        <v>11125794</v>
      </c>
      <c r="E63" s="78">
        <f t="shared" si="5"/>
        <v>812326</v>
      </c>
      <c r="F63" s="90">
        <f t="shared" si="4"/>
        <v>0.07876361278281951</v>
      </c>
    </row>
    <row r="64" spans="1:6" ht="91.5">
      <c r="A64" s="76" t="s">
        <v>40</v>
      </c>
      <c r="B64" s="83">
        <f>SUM(B61:B63)</f>
        <v>40061075</v>
      </c>
      <c r="C64" s="83">
        <f>SUM(C61:C63)</f>
        <v>34285934</v>
      </c>
      <c r="D64" s="83">
        <f>SUM(D61:D63)</f>
        <v>35501734</v>
      </c>
      <c r="E64" s="83">
        <f t="shared" si="5"/>
        <v>1215800</v>
      </c>
      <c r="F64" s="87">
        <f t="shared" si="4"/>
        <v>0.035460606089949304</v>
      </c>
    </row>
    <row r="65" spans="1:6" ht="91.5">
      <c r="A65" s="80" t="s">
        <v>41</v>
      </c>
      <c r="B65" s="78">
        <v>2930266</v>
      </c>
      <c r="C65" s="78">
        <v>1982620</v>
      </c>
      <c r="D65" s="78">
        <v>2818909</v>
      </c>
      <c r="E65" s="78">
        <f t="shared" si="5"/>
        <v>836289</v>
      </c>
      <c r="F65" s="90">
        <f aca="true" t="shared" si="6" ref="F65:F74">E65/C65</f>
        <v>0.42181002915334254</v>
      </c>
    </row>
    <row r="66" spans="1:6" ht="91.5">
      <c r="A66" s="80" t="s">
        <v>42</v>
      </c>
      <c r="B66" s="78">
        <v>34113601</v>
      </c>
      <c r="C66" s="78">
        <v>33191469</v>
      </c>
      <c r="D66" s="78">
        <v>34655405</v>
      </c>
      <c r="E66" s="78">
        <f t="shared" si="5"/>
        <v>1463936</v>
      </c>
      <c r="F66" s="90">
        <f t="shared" si="6"/>
        <v>0.044105791159770605</v>
      </c>
    </row>
    <row r="67" spans="1:6" ht="91.5">
      <c r="A67" s="80" t="s">
        <v>43</v>
      </c>
      <c r="B67" s="78">
        <v>12320</v>
      </c>
      <c r="C67" s="78">
        <v>0</v>
      </c>
      <c r="D67" s="78">
        <v>0</v>
      </c>
      <c r="E67" s="78">
        <f t="shared" si="5"/>
        <v>0</v>
      </c>
      <c r="F67" s="90">
        <v>0</v>
      </c>
    </row>
    <row r="68" spans="1:6" ht="91.5">
      <c r="A68" s="80" t="s">
        <v>44</v>
      </c>
      <c r="B68" s="78">
        <v>6810478</v>
      </c>
      <c r="C68" s="78">
        <v>10384769</v>
      </c>
      <c r="D68" s="78">
        <v>9786297</v>
      </c>
      <c r="E68" s="78">
        <f t="shared" si="5"/>
        <v>-598472</v>
      </c>
      <c r="F68" s="90">
        <f t="shared" si="6"/>
        <v>-0.05762978454311309</v>
      </c>
    </row>
    <row r="69" spans="1:6" ht="91.5">
      <c r="A69" s="76" t="s">
        <v>45</v>
      </c>
      <c r="B69" s="85">
        <f>SUM(B65:B68)</f>
        <v>43866665</v>
      </c>
      <c r="C69" s="85">
        <f>SUM(C65:C68)</f>
        <v>45558858</v>
      </c>
      <c r="D69" s="85">
        <f>SUM(D65:D68)</f>
        <v>47260611</v>
      </c>
      <c r="E69" s="85">
        <f t="shared" si="5"/>
        <v>1701753</v>
      </c>
      <c r="F69" s="87">
        <f t="shared" si="6"/>
        <v>0.03735284585052593</v>
      </c>
    </row>
    <row r="70" spans="1:6" ht="91.5">
      <c r="A70" s="80" t="s">
        <v>57</v>
      </c>
      <c r="B70" s="78">
        <v>8241855</v>
      </c>
      <c r="C70" s="78">
        <v>9859820</v>
      </c>
      <c r="D70" s="78">
        <v>6770017</v>
      </c>
      <c r="E70" s="78">
        <f t="shared" si="5"/>
        <v>-3089803</v>
      </c>
      <c r="F70" s="90">
        <f t="shared" si="6"/>
        <v>-0.31337316502735346</v>
      </c>
    </row>
    <row r="71" spans="1:6" ht="91.5">
      <c r="A71" s="80" t="s">
        <v>46</v>
      </c>
      <c r="B71" s="78">
        <v>5281546</v>
      </c>
      <c r="C71" s="78">
        <f>5448264-3</f>
        <v>5448261</v>
      </c>
      <c r="D71" s="78">
        <v>5593578</v>
      </c>
      <c r="E71" s="78">
        <f t="shared" si="5"/>
        <v>145317</v>
      </c>
      <c r="F71" s="90">
        <f t="shared" si="6"/>
        <v>0.02667218035259324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5"/>
        <v>0</v>
      </c>
      <c r="F72" s="90">
        <v>0</v>
      </c>
    </row>
    <row r="73" spans="1:6" ht="91.5">
      <c r="A73" s="99" t="s">
        <v>48</v>
      </c>
      <c r="B73" s="85">
        <f>SUM(B70:B72)</f>
        <v>13523401</v>
      </c>
      <c r="C73" s="85">
        <f>SUM(C70:C72)</f>
        <v>15308081</v>
      </c>
      <c r="D73" s="85">
        <f>SUM(D70:D72)</f>
        <v>12363595</v>
      </c>
      <c r="E73" s="85">
        <f t="shared" si="5"/>
        <v>-2944486</v>
      </c>
      <c r="F73" s="95">
        <f t="shared" si="6"/>
        <v>-0.19234847267923394</v>
      </c>
    </row>
    <row r="74" spans="1:6" ht="91.5">
      <c r="A74" s="94" t="s">
        <v>31</v>
      </c>
      <c r="B74" s="85">
        <f>B73+B69+B64+B60</f>
        <v>392839181</v>
      </c>
      <c r="C74" s="85">
        <f>C73+C69+C64+C60</f>
        <v>402701022</v>
      </c>
      <c r="D74" s="85">
        <f>D73+D69+D64+D60</f>
        <v>436384799</v>
      </c>
      <c r="E74" s="85">
        <f t="shared" si="5"/>
        <v>33683777</v>
      </c>
      <c r="F74" s="95">
        <f t="shared" si="6"/>
        <v>0.0836446275520006</v>
      </c>
    </row>
    <row r="75" ht="91.5">
      <c r="A75" s="56" t="s">
        <v>186</v>
      </c>
    </row>
    <row r="76" ht="91.5">
      <c r="F76" s="100"/>
    </row>
    <row r="77" spans="1:6" ht="91.5">
      <c r="A77" s="56" t="s">
        <v>0</v>
      </c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5" zoomScaleNormal="35" zoomScalePageLayoutView="0" workbookViewId="0" topLeftCell="B2">
      <selection activeCell="C12" sqref="C12"/>
    </sheetView>
  </sheetViews>
  <sheetFormatPr defaultColWidth="9.6640625" defaultRowHeight="15"/>
  <cols>
    <col min="1" max="1" width="255.77734375" style="56" bestFit="1" customWidth="1"/>
    <col min="2" max="4" width="61.99609375" style="51" bestFit="1" customWidth="1"/>
    <col min="5" max="5" width="70.88671875" style="51" bestFit="1" customWidth="1"/>
    <col min="6" max="6" width="96.88671875" style="104" bestFit="1" customWidth="1"/>
    <col min="7" max="16384" width="9.6640625" style="56" customWidth="1"/>
  </cols>
  <sheetData>
    <row r="1" spans="1:6" ht="91.5">
      <c r="A1" s="50" t="s">
        <v>3</v>
      </c>
      <c r="C1" s="52"/>
      <c r="D1" s="54"/>
      <c r="E1" s="102" t="s">
        <v>6</v>
      </c>
      <c r="F1" s="103" t="s">
        <v>171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105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106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107" t="s">
        <v>10</v>
      </c>
    </row>
    <row r="6" spans="1:6" ht="91.5">
      <c r="A6" s="69" t="s">
        <v>11</v>
      </c>
      <c r="B6" s="70"/>
      <c r="C6" s="70"/>
      <c r="D6" s="70"/>
      <c r="E6" s="70"/>
      <c r="F6" s="108"/>
    </row>
    <row r="7" spans="1:6" ht="91.5">
      <c r="A7" s="69" t="s">
        <v>12</v>
      </c>
      <c r="B7" s="70"/>
      <c r="C7" s="70"/>
      <c r="D7" s="70"/>
      <c r="E7" s="72"/>
      <c r="F7" s="108"/>
    </row>
    <row r="8" spans="1:6" ht="91.5">
      <c r="A8" s="73" t="s">
        <v>13</v>
      </c>
      <c r="B8" s="74">
        <v>8383132</v>
      </c>
      <c r="C8" s="74">
        <v>8383132</v>
      </c>
      <c r="D8" s="74">
        <v>10719873</v>
      </c>
      <c r="E8" s="74">
        <f>D8-C8</f>
        <v>2336741</v>
      </c>
      <c r="F8" s="109">
        <f>E8/C8</f>
        <v>0.2787431952640135</v>
      </c>
    </row>
    <row r="9" spans="1:6" ht="91.5">
      <c r="A9" s="76" t="s">
        <v>60</v>
      </c>
      <c r="B9" s="74">
        <f>SUM(B10:B22)</f>
        <v>398552</v>
      </c>
      <c r="C9" s="74">
        <f>SUM(C10:C22)</f>
        <v>398552</v>
      </c>
      <c r="D9" s="74">
        <f>SUM(D10:D22)</f>
        <v>304075</v>
      </c>
      <c r="E9" s="74">
        <f>D9-C9</f>
        <v>-94477</v>
      </c>
      <c r="F9" s="109">
        <f>E9/C9</f>
        <v>-0.2370506232561874</v>
      </c>
    </row>
    <row r="10" spans="1:6" ht="91.5">
      <c r="A10" s="77" t="s">
        <v>61</v>
      </c>
      <c r="B10" s="78">
        <v>112171</v>
      </c>
      <c r="C10" s="78">
        <v>112171</v>
      </c>
      <c r="D10" s="78">
        <v>0</v>
      </c>
      <c r="E10" s="78">
        <f aca="true" t="shared" si="0" ref="E10:E30">D10-C10</f>
        <v>-112171</v>
      </c>
      <c r="F10" s="110">
        <v>0</v>
      </c>
    </row>
    <row r="11" spans="1:6" ht="91.5">
      <c r="A11" s="80" t="s">
        <v>62</v>
      </c>
      <c r="B11" s="78">
        <v>286381</v>
      </c>
      <c r="C11" s="78">
        <v>286381</v>
      </c>
      <c r="D11" s="78">
        <v>304075</v>
      </c>
      <c r="E11" s="78">
        <f t="shared" si="0"/>
        <v>17694</v>
      </c>
      <c r="F11" s="110">
        <f>E11/C11</f>
        <v>0.0617848251106044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0"/>
        <v>0</v>
      </c>
      <c r="F12" s="110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110"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110"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0"/>
        <v>0</v>
      </c>
      <c r="F15" s="110"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0"/>
        <v>0</v>
      </c>
      <c r="F16" s="110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110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110"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110"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110"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110"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110"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109"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 t="shared" si="0"/>
        <v>0</v>
      </c>
      <c r="F24" s="110"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110"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109"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 t="shared" si="0"/>
        <v>0</v>
      </c>
      <c r="F27" s="110"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 t="shared" si="0"/>
        <v>0</v>
      </c>
      <c r="F28" s="110"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 t="shared" si="0"/>
        <v>0</v>
      </c>
      <c r="F29" s="110">
        <v>0</v>
      </c>
    </row>
    <row r="30" spans="1:6" ht="91.5">
      <c r="A30" s="76" t="s">
        <v>14</v>
      </c>
      <c r="B30" s="85">
        <f>B29+B28+B27+B25+B24+B9+B8</f>
        <v>8781684</v>
      </c>
      <c r="C30" s="86">
        <f>C29+C28+C27+C25+C24+C9+C8</f>
        <v>8781684</v>
      </c>
      <c r="D30" s="86">
        <f>D29+D28+D27+D25+D24+D9+D8</f>
        <v>11023948</v>
      </c>
      <c r="E30" s="86">
        <f t="shared" si="0"/>
        <v>2242264</v>
      </c>
      <c r="F30" s="111">
        <f>E30/C30</f>
        <v>0.2553341705303903</v>
      </c>
    </row>
    <row r="31" spans="1:6" ht="91.5">
      <c r="A31" s="76"/>
      <c r="B31" s="88"/>
      <c r="C31" s="86"/>
      <c r="D31" s="86"/>
      <c r="E31" s="86"/>
      <c r="F31" s="112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109">
        <v>0</v>
      </c>
    </row>
    <row r="33" spans="1:6" ht="91.5">
      <c r="A33" s="80" t="s">
        <v>0</v>
      </c>
      <c r="B33" s="86"/>
      <c r="C33" s="86"/>
      <c r="D33" s="86"/>
      <c r="E33" s="86"/>
      <c r="F33" s="113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109">
        <v>0</v>
      </c>
    </row>
    <row r="35" spans="1:6" ht="91.5">
      <c r="A35" s="80" t="s">
        <v>0</v>
      </c>
      <c r="B35" s="86"/>
      <c r="C35" s="86"/>
      <c r="D35" s="86"/>
      <c r="E35" s="86"/>
      <c r="F35" s="111"/>
    </row>
    <row r="36" spans="1:6" ht="91.5">
      <c r="A36" s="82" t="s">
        <v>56</v>
      </c>
      <c r="B36" s="74">
        <v>7015982</v>
      </c>
      <c r="C36" s="74">
        <v>7767156</v>
      </c>
      <c r="D36" s="74">
        <v>7746598</v>
      </c>
      <c r="E36" s="74">
        <f>D36-C36</f>
        <v>-20558</v>
      </c>
      <c r="F36" s="109">
        <f>E36/C36</f>
        <v>-0.0026467860308200327</v>
      </c>
    </row>
    <row r="37" spans="1:6" ht="91.5">
      <c r="A37" s="80" t="s">
        <v>0</v>
      </c>
      <c r="B37" s="86"/>
      <c r="C37" s="86"/>
      <c r="D37" s="86"/>
      <c r="E37" s="86"/>
      <c r="F37" s="111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109">
        <v>0</v>
      </c>
    </row>
    <row r="39" spans="1:6" ht="91.5">
      <c r="A39" s="80"/>
      <c r="B39" s="86"/>
      <c r="C39" s="86"/>
      <c r="D39" s="86"/>
      <c r="E39" s="86"/>
      <c r="F39" s="111"/>
    </row>
    <row r="40" spans="1:6" ht="91.5">
      <c r="A40" s="118" t="s">
        <v>17</v>
      </c>
      <c r="B40" s="74">
        <f>B38+B36+B34+B30</f>
        <v>15797666</v>
      </c>
      <c r="C40" s="74">
        <f>C38+C36+C34+C30</f>
        <v>16548840</v>
      </c>
      <c r="D40" s="74">
        <f>D38+D36+D34+D30</f>
        <v>18770546</v>
      </c>
      <c r="E40" s="74">
        <f>D40-C40</f>
        <v>2221706</v>
      </c>
      <c r="F40" s="119">
        <f>E40/C40</f>
        <v>0.13425146415096165</v>
      </c>
    </row>
    <row r="41" spans="1:6" ht="91.5">
      <c r="A41" s="91" t="s">
        <v>18</v>
      </c>
      <c r="B41" s="70"/>
      <c r="C41" s="70"/>
      <c r="D41" s="70"/>
      <c r="E41" s="70"/>
      <c r="F41" s="108"/>
    </row>
    <row r="42" spans="1:6" ht="91.5">
      <c r="A42" s="77" t="s">
        <v>19</v>
      </c>
      <c r="B42" s="78">
        <v>8463906</v>
      </c>
      <c r="C42" s="78">
        <v>8575576</v>
      </c>
      <c r="D42" s="78">
        <v>9868518</v>
      </c>
      <c r="E42" s="78">
        <f aca="true" t="shared" si="1" ref="E42:E49">D42-C42</f>
        <v>1292942</v>
      </c>
      <c r="F42" s="114">
        <f>E42/C42</f>
        <v>0.15077028062021722</v>
      </c>
    </row>
    <row r="43" spans="1:6" ht="91.5">
      <c r="A43" s="80" t="s">
        <v>20</v>
      </c>
      <c r="B43" s="78">
        <v>0</v>
      </c>
      <c r="C43" s="78">
        <v>0</v>
      </c>
      <c r="D43" s="78">
        <v>0</v>
      </c>
      <c r="E43" s="78">
        <f t="shared" si="1"/>
        <v>0</v>
      </c>
      <c r="F43" s="113">
        <v>0</v>
      </c>
    </row>
    <row r="44" spans="1:6" ht="91.5">
      <c r="A44" s="80" t="s">
        <v>21</v>
      </c>
      <c r="B44" s="78">
        <v>0</v>
      </c>
      <c r="C44" s="78">
        <v>0</v>
      </c>
      <c r="D44" s="78">
        <v>0</v>
      </c>
      <c r="E44" s="78">
        <f t="shared" si="1"/>
        <v>0</v>
      </c>
      <c r="F44" s="113">
        <v>0</v>
      </c>
    </row>
    <row r="45" spans="1:6" ht="91.5">
      <c r="A45" s="80" t="s">
        <v>49</v>
      </c>
      <c r="B45" s="78">
        <v>1099499</v>
      </c>
      <c r="C45" s="78">
        <v>1304212</v>
      </c>
      <c r="D45" s="78">
        <v>1218622</v>
      </c>
      <c r="E45" s="78">
        <f t="shared" si="1"/>
        <v>-85590</v>
      </c>
      <c r="F45" s="113">
        <f aca="true" t="shared" si="2" ref="F45:F55">E45/C45</f>
        <v>-0.06562583383683021</v>
      </c>
    </row>
    <row r="46" spans="1:6" ht="91.5">
      <c r="A46" s="80" t="s">
        <v>22</v>
      </c>
      <c r="B46" s="78">
        <v>1143320</v>
      </c>
      <c r="C46" s="78">
        <v>1163816</v>
      </c>
      <c r="D46" s="78">
        <v>1466295</v>
      </c>
      <c r="E46" s="78">
        <f t="shared" si="1"/>
        <v>302479</v>
      </c>
      <c r="F46" s="113">
        <f t="shared" si="2"/>
        <v>0.25990276813516916</v>
      </c>
    </row>
    <row r="47" spans="1:6" ht="91.5">
      <c r="A47" s="80" t="s">
        <v>23</v>
      </c>
      <c r="B47" s="78">
        <v>2410418</v>
      </c>
      <c r="C47" s="78">
        <v>2658456</v>
      </c>
      <c r="D47" s="78">
        <v>3270375</v>
      </c>
      <c r="E47" s="78">
        <f t="shared" si="1"/>
        <v>611919</v>
      </c>
      <c r="F47" s="113">
        <f t="shared" si="2"/>
        <v>0.23017834412155025</v>
      </c>
    </row>
    <row r="48" spans="1:6" ht="91.5">
      <c r="A48" s="80" t="s">
        <v>24</v>
      </c>
      <c r="B48" s="78">
        <v>296043</v>
      </c>
      <c r="C48" s="78">
        <v>357750</v>
      </c>
      <c r="D48" s="78">
        <v>395400</v>
      </c>
      <c r="E48" s="78">
        <f t="shared" si="1"/>
        <v>37650</v>
      </c>
      <c r="F48" s="113">
        <f t="shared" si="2"/>
        <v>0.10524109014675052</v>
      </c>
    </row>
    <row r="49" spans="1:6" ht="91.5">
      <c r="A49" s="80" t="s">
        <v>25</v>
      </c>
      <c r="B49" s="78">
        <v>2384480</v>
      </c>
      <c r="C49" s="78">
        <v>2489030</v>
      </c>
      <c r="D49" s="78">
        <v>2551336</v>
      </c>
      <c r="E49" s="78">
        <f t="shared" si="1"/>
        <v>62306</v>
      </c>
      <c r="F49" s="113">
        <f t="shared" si="2"/>
        <v>0.02503224147559491</v>
      </c>
    </row>
    <row r="50" spans="1:6" ht="91.5">
      <c r="A50" s="93" t="s">
        <v>26</v>
      </c>
      <c r="B50" s="83">
        <f>SUM(B42:B49)</f>
        <v>15797666</v>
      </c>
      <c r="C50" s="83">
        <f>SUM(C42:C49)</f>
        <v>16548840</v>
      </c>
      <c r="D50" s="83">
        <f>SUM(D42:D49)</f>
        <v>18770546</v>
      </c>
      <c r="E50" s="83">
        <f>D50-C50</f>
        <v>2221706</v>
      </c>
      <c r="F50" s="111">
        <f t="shared" si="2"/>
        <v>0.13425146415096165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v>0</v>
      </c>
      <c r="F51" s="113">
        <v>0</v>
      </c>
    </row>
    <row r="52" spans="1:6" ht="91.5">
      <c r="A52" s="80" t="s">
        <v>28</v>
      </c>
      <c r="B52" s="78">
        <v>0</v>
      </c>
      <c r="C52" s="78">
        <v>0</v>
      </c>
      <c r="D52" s="78">
        <v>0</v>
      </c>
      <c r="E52" s="78">
        <v>0</v>
      </c>
      <c r="F52" s="113"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v>0</v>
      </c>
      <c r="F53" s="113"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v>0</v>
      </c>
      <c r="F54" s="113">
        <v>0</v>
      </c>
    </row>
    <row r="55" spans="1:6" ht="91.5">
      <c r="A55" s="94" t="s">
        <v>31</v>
      </c>
      <c r="B55" s="85">
        <f>B54+B53+B52+B51+B50</f>
        <v>15797666</v>
      </c>
      <c r="C55" s="85">
        <f>C54+C53+C52+C51+C50</f>
        <v>16548840</v>
      </c>
      <c r="D55" s="85">
        <f>D54+D53+D52+D51+D50</f>
        <v>18770546</v>
      </c>
      <c r="E55" s="85">
        <f>D55-C55</f>
        <v>2221706</v>
      </c>
      <c r="F55" s="115">
        <f t="shared" si="2"/>
        <v>0.13425146415096165</v>
      </c>
    </row>
    <row r="56" spans="1:6" ht="91.5">
      <c r="A56" s="91" t="s">
        <v>32</v>
      </c>
      <c r="B56" s="70"/>
      <c r="C56" s="70"/>
      <c r="D56" s="70"/>
      <c r="E56" s="70"/>
      <c r="F56" s="108"/>
    </row>
    <row r="57" spans="1:6" ht="91.5">
      <c r="A57" s="77" t="s">
        <v>33</v>
      </c>
      <c r="B57" s="78">
        <v>9165305</v>
      </c>
      <c r="C57" s="78">
        <v>9750040</v>
      </c>
      <c r="D57" s="78">
        <v>11064239</v>
      </c>
      <c r="E57" s="78">
        <f>D57-C57</f>
        <v>1314199</v>
      </c>
      <c r="F57" s="114">
        <f aca="true" t="shared" si="3" ref="F57:F64">E57/C57</f>
        <v>0.134789088044767</v>
      </c>
    </row>
    <row r="58" spans="1:6" ht="91.5">
      <c r="A58" s="80" t="s">
        <v>34</v>
      </c>
      <c r="B58" s="78">
        <v>266612</v>
      </c>
      <c r="C58" s="78">
        <v>297135</v>
      </c>
      <c r="D58" s="78">
        <v>245000</v>
      </c>
      <c r="E58" s="78">
        <f>D58-C58</f>
        <v>-52135</v>
      </c>
      <c r="F58" s="113">
        <f t="shared" si="3"/>
        <v>-0.1754589664630555</v>
      </c>
    </row>
    <row r="59" spans="1:6" ht="91.5">
      <c r="A59" s="80" t="s">
        <v>35</v>
      </c>
      <c r="B59" s="78">
        <v>3033731</v>
      </c>
      <c r="C59" s="78">
        <v>3084627</v>
      </c>
      <c r="D59" s="78">
        <v>3619144</v>
      </c>
      <c r="E59" s="78">
        <f>D59-C59</f>
        <v>534517</v>
      </c>
      <c r="F59" s="113">
        <f t="shared" si="3"/>
        <v>0.17328416045116637</v>
      </c>
    </row>
    <row r="60" spans="1:6" ht="91.5">
      <c r="A60" s="93" t="s">
        <v>36</v>
      </c>
      <c r="B60" s="96">
        <f>SUM(B57:B59)</f>
        <v>12465648</v>
      </c>
      <c r="C60" s="96">
        <f>SUM(C57:C59)</f>
        <v>13131802</v>
      </c>
      <c r="D60" s="96">
        <f>D59+D58+D57</f>
        <v>14928383</v>
      </c>
      <c r="E60" s="96">
        <f aca="true" t="shared" si="4" ref="E60:E74">D60-C60</f>
        <v>1796581</v>
      </c>
      <c r="F60" s="116">
        <f t="shared" si="3"/>
        <v>0.13681145969151834</v>
      </c>
    </row>
    <row r="61" spans="1:6" ht="91.5">
      <c r="A61" s="80" t="s">
        <v>37</v>
      </c>
      <c r="B61" s="78">
        <v>146179</v>
      </c>
      <c r="C61" s="78">
        <v>224364</v>
      </c>
      <c r="D61" s="78">
        <v>211650</v>
      </c>
      <c r="E61" s="78">
        <f t="shared" si="4"/>
        <v>-12714</v>
      </c>
      <c r="F61" s="113">
        <f t="shared" si="3"/>
        <v>-0.05666684494838744</v>
      </c>
    </row>
    <row r="62" spans="1:6" ht="91.5">
      <c r="A62" s="80" t="s">
        <v>38</v>
      </c>
      <c r="B62" s="78">
        <v>1548384</v>
      </c>
      <c r="C62" s="78">
        <v>1734188</v>
      </c>
      <c r="D62" s="78">
        <v>1658671</v>
      </c>
      <c r="E62" s="78">
        <f t="shared" si="4"/>
        <v>-75517</v>
      </c>
      <c r="F62" s="113">
        <f t="shared" si="3"/>
        <v>-0.04354602845827557</v>
      </c>
    </row>
    <row r="63" spans="1:6" ht="91.5">
      <c r="A63" s="80" t="s">
        <v>39</v>
      </c>
      <c r="B63" s="78">
        <v>639217</v>
      </c>
      <c r="C63" s="78">
        <v>480051</v>
      </c>
      <c r="D63" s="78">
        <v>532635</v>
      </c>
      <c r="E63" s="78">
        <f t="shared" si="4"/>
        <v>52584</v>
      </c>
      <c r="F63" s="113">
        <f t="shared" si="3"/>
        <v>0.1095383615490854</v>
      </c>
    </row>
    <row r="64" spans="1:6" ht="91.5">
      <c r="A64" s="76" t="s">
        <v>40</v>
      </c>
      <c r="B64" s="83">
        <f>SUM(B61:B63)</f>
        <v>2333780</v>
      </c>
      <c r="C64" s="83">
        <f>SUM(C61:C63)</f>
        <v>2438603</v>
      </c>
      <c r="D64" s="83">
        <f>SUM(D61:D63)</f>
        <v>2402956</v>
      </c>
      <c r="E64" s="83">
        <f t="shared" si="4"/>
        <v>-35647</v>
      </c>
      <c r="F64" s="111">
        <f t="shared" si="3"/>
        <v>-0.014617795516531392</v>
      </c>
    </row>
    <row r="65" spans="1:6" ht="91.5">
      <c r="A65" s="80" t="s">
        <v>41</v>
      </c>
      <c r="B65" s="78">
        <v>216857</v>
      </c>
      <c r="C65" s="78">
        <v>171668</v>
      </c>
      <c r="D65" s="78">
        <v>187800</v>
      </c>
      <c r="E65" s="78">
        <f t="shared" si="4"/>
        <v>16132</v>
      </c>
      <c r="F65" s="113">
        <f aca="true" t="shared" si="5" ref="F65:F74">E65/C65</f>
        <v>0.09397208565370366</v>
      </c>
    </row>
    <row r="66" spans="1:6" ht="91.5">
      <c r="A66" s="80" t="s">
        <v>42</v>
      </c>
      <c r="B66" s="78">
        <v>503189</v>
      </c>
      <c r="C66" s="78">
        <v>590020</v>
      </c>
      <c r="D66" s="78">
        <v>654900</v>
      </c>
      <c r="E66" s="78">
        <f t="shared" si="4"/>
        <v>64880</v>
      </c>
      <c r="F66" s="113">
        <f t="shared" si="5"/>
        <v>0.10996237415680825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4"/>
        <v>0</v>
      </c>
      <c r="F67" s="113">
        <v>0</v>
      </c>
    </row>
    <row r="68" spans="1:6" ht="91.5">
      <c r="A68" s="80" t="s">
        <v>44</v>
      </c>
      <c r="B68" s="78">
        <v>0</v>
      </c>
      <c r="C68" s="78">
        <v>0</v>
      </c>
      <c r="D68" s="78">
        <v>0</v>
      </c>
      <c r="E68" s="78">
        <f t="shared" si="4"/>
        <v>0</v>
      </c>
      <c r="F68" s="113">
        <v>0</v>
      </c>
    </row>
    <row r="69" spans="1:6" ht="91.5">
      <c r="A69" s="76" t="s">
        <v>45</v>
      </c>
      <c r="B69" s="85">
        <f>SUM(B65:B68)</f>
        <v>720046</v>
      </c>
      <c r="C69" s="85">
        <f>SUM(C65:C68)</f>
        <v>761688</v>
      </c>
      <c r="D69" s="85">
        <f>SUM(D65:D68)</f>
        <v>842700</v>
      </c>
      <c r="E69" s="85">
        <f t="shared" si="4"/>
        <v>81012</v>
      </c>
      <c r="F69" s="111">
        <f t="shared" si="5"/>
        <v>0.10635850899580931</v>
      </c>
    </row>
    <row r="70" spans="1:6" ht="91.5">
      <c r="A70" s="80" t="s">
        <v>57</v>
      </c>
      <c r="B70" s="78">
        <v>167563</v>
      </c>
      <c r="C70" s="78">
        <v>136747</v>
      </c>
      <c r="D70" s="78">
        <v>516507</v>
      </c>
      <c r="E70" s="78">
        <f t="shared" si="4"/>
        <v>379760</v>
      </c>
      <c r="F70" s="113">
        <f t="shared" si="5"/>
        <v>2.777099314793012</v>
      </c>
    </row>
    <row r="71" spans="1:6" ht="91.5">
      <c r="A71" s="80" t="s">
        <v>46</v>
      </c>
      <c r="B71" s="78">
        <v>90049</v>
      </c>
      <c r="C71" s="78">
        <v>80000</v>
      </c>
      <c r="D71" s="78">
        <v>80000</v>
      </c>
      <c r="E71" s="78">
        <f t="shared" si="4"/>
        <v>0</v>
      </c>
      <c r="F71" s="113">
        <f t="shared" si="5"/>
        <v>0</v>
      </c>
    </row>
    <row r="72" spans="1:6" ht="91.5">
      <c r="A72" s="98" t="s">
        <v>47</v>
      </c>
      <c r="B72" s="78">
        <v>20580</v>
      </c>
      <c r="C72" s="78">
        <v>0</v>
      </c>
      <c r="D72" s="78">
        <v>0</v>
      </c>
      <c r="E72" s="78">
        <f t="shared" si="4"/>
        <v>0</v>
      </c>
      <c r="F72" s="113">
        <v>0</v>
      </c>
    </row>
    <row r="73" spans="1:6" ht="91.5">
      <c r="A73" s="99" t="s">
        <v>48</v>
      </c>
      <c r="B73" s="85">
        <f>SUM(B70:B72)</f>
        <v>278192</v>
      </c>
      <c r="C73" s="85">
        <f>SUM(C70:C72)</f>
        <v>216747</v>
      </c>
      <c r="D73" s="85">
        <f>SUM(D70:D72)</f>
        <v>596507</v>
      </c>
      <c r="E73" s="85">
        <f t="shared" si="4"/>
        <v>379760</v>
      </c>
      <c r="F73" s="115">
        <f t="shared" si="5"/>
        <v>1.7520888409066793</v>
      </c>
    </row>
    <row r="74" spans="1:6" ht="91.5">
      <c r="A74" s="94" t="s">
        <v>31</v>
      </c>
      <c r="B74" s="85">
        <f>B73+B69+B64+B60</f>
        <v>15797666</v>
      </c>
      <c r="C74" s="85">
        <f>C73+C69+C64+C60</f>
        <v>16548840</v>
      </c>
      <c r="D74" s="85">
        <f>D73+D69+D64+D60</f>
        <v>18770546</v>
      </c>
      <c r="E74" s="85">
        <f t="shared" si="4"/>
        <v>2221706</v>
      </c>
      <c r="F74" s="115">
        <f t="shared" si="5"/>
        <v>0.13425146415096165</v>
      </c>
    </row>
    <row r="75" ht="91.5">
      <c r="A75" s="56" t="s">
        <v>186</v>
      </c>
    </row>
    <row r="76" ht="91.5">
      <c r="F76" s="117"/>
    </row>
    <row r="77" spans="1:6" ht="91.5">
      <c r="A77" s="56" t="s">
        <v>0</v>
      </c>
      <c r="F77" s="117"/>
    </row>
    <row r="78" spans="1:6" ht="91.5">
      <c r="A78" s="50"/>
      <c r="F78" s="117"/>
    </row>
    <row r="79" ht="91.5">
      <c r="F79" s="117"/>
    </row>
    <row r="80" ht="91.5">
      <c r="F80" s="117"/>
    </row>
    <row r="81" ht="91.5">
      <c r="F81" s="117"/>
    </row>
    <row r="82" ht="91.5">
      <c r="F82" s="117"/>
    </row>
    <row r="83" ht="91.5">
      <c r="F83" s="117"/>
    </row>
    <row r="84" ht="91.5">
      <c r="F84" s="117"/>
    </row>
    <row r="85" ht="91.5">
      <c r="F85" s="117"/>
    </row>
    <row r="86" ht="91.5">
      <c r="F86" s="117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35" zoomScaleNormal="35" zoomScalePageLayoutView="0" workbookViewId="0" topLeftCell="A37">
      <selection activeCell="C77" sqref="C77"/>
    </sheetView>
  </sheetViews>
  <sheetFormatPr defaultColWidth="9.6640625" defaultRowHeight="15"/>
  <cols>
    <col min="1" max="1" width="255.77734375" style="56" bestFit="1" customWidth="1"/>
    <col min="2" max="3" width="61.99609375" style="51" bestFit="1" customWidth="1"/>
    <col min="4" max="4" width="61.99609375" style="51" customWidth="1"/>
    <col min="5" max="5" width="70.88671875" style="51" bestFit="1" customWidth="1"/>
    <col min="6" max="6" width="76.3359375" style="57" bestFit="1" customWidth="1"/>
    <col min="7" max="16384" width="9.6640625" style="56" customWidth="1"/>
  </cols>
  <sheetData>
    <row r="1" spans="1:6" ht="91.5">
      <c r="A1" s="50" t="s">
        <v>3</v>
      </c>
      <c r="C1" s="52"/>
      <c r="D1" s="54"/>
      <c r="E1" s="102" t="s">
        <v>6</v>
      </c>
      <c r="F1" s="123" t="s">
        <v>182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7703903</v>
      </c>
      <c r="C8" s="74">
        <v>7703903</v>
      </c>
      <c r="D8" s="74">
        <v>8687454</v>
      </c>
      <c r="E8" s="74">
        <f>D8-C8</f>
        <v>983551</v>
      </c>
      <c r="F8" s="75">
        <f>IF(ISERROR(E8/C8),0,(E8/C8))</f>
        <v>0.12766918275061356</v>
      </c>
    </row>
    <row r="9" spans="1:6" ht="91.5">
      <c r="A9" s="76" t="s">
        <v>60</v>
      </c>
      <c r="B9" s="74">
        <f>SUM(B10:B22)</f>
        <v>339743</v>
      </c>
      <c r="C9" s="74">
        <f>SUM(C10:C22)</f>
        <v>339743</v>
      </c>
      <c r="D9" s="74">
        <f>SUM(D10:D22)</f>
        <v>283018</v>
      </c>
      <c r="E9" s="74">
        <f>SUM(E10:E22)</f>
        <v>-56725</v>
      </c>
      <c r="F9" s="75">
        <f aca="true" t="shared" si="0" ref="F9:F40">IF(ISERROR(E9/C9),0,(E9/C9))</f>
        <v>-0.16696444076846323</v>
      </c>
    </row>
    <row r="10" spans="1:6" ht="91.5">
      <c r="A10" s="77" t="s">
        <v>61</v>
      </c>
      <c r="B10" s="78">
        <v>71875</v>
      </c>
      <c r="C10" s="78">
        <v>71875</v>
      </c>
      <c r="D10" s="78">
        <v>0</v>
      </c>
      <c r="E10" s="78">
        <f aca="true" t="shared" si="1" ref="E10:E30">D10-C10</f>
        <v>-71875</v>
      </c>
      <c r="F10" s="79">
        <f t="shared" si="0"/>
        <v>-1</v>
      </c>
    </row>
    <row r="11" spans="1:6" ht="91.5">
      <c r="A11" s="80" t="s">
        <v>62</v>
      </c>
      <c r="B11" s="78">
        <v>267868</v>
      </c>
      <c r="C11" s="78">
        <v>267868</v>
      </c>
      <c r="D11" s="78">
        <v>283018</v>
      </c>
      <c r="E11" s="78">
        <f t="shared" si="1"/>
        <v>15150</v>
      </c>
      <c r="F11" s="79">
        <f t="shared" si="0"/>
        <v>0.056557707527588215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 t="shared" si="1"/>
        <v>0</v>
      </c>
      <c r="F24" s="79">
        <f t="shared" si="0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1"/>
        <v>0</v>
      </c>
      <c r="F25" s="79">
        <f t="shared" si="0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>IF(ISERROR(E26/C26),0,(E26/C26))</f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 t="shared" si="1"/>
        <v>0</v>
      </c>
      <c r="F27" s="79">
        <f t="shared" si="0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 t="shared" si="1"/>
        <v>0</v>
      </c>
      <c r="F28" s="79">
        <f t="shared" si="0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 t="shared" si="1"/>
        <v>0</v>
      </c>
      <c r="F29" s="79">
        <f t="shared" si="0"/>
        <v>0</v>
      </c>
    </row>
    <row r="30" spans="1:6" ht="91.5">
      <c r="A30" s="76" t="s">
        <v>14</v>
      </c>
      <c r="B30" s="85">
        <f>B29+B28+B27+B25+B24+B9+B8</f>
        <v>8043646</v>
      </c>
      <c r="C30" s="86">
        <f>C29+C28+C27+C25+C24+C9+C8</f>
        <v>8043646</v>
      </c>
      <c r="D30" s="86">
        <f>D29+D28+D27+D25+D24+D9+D8</f>
        <v>8970472</v>
      </c>
      <c r="E30" s="86">
        <f t="shared" si="1"/>
        <v>926826</v>
      </c>
      <c r="F30" s="87">
        <f t="shared" si="0"/>
        <v>0.11522461331590177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 t="shared" si="0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 t="shared" si="0"/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4463033</v>
      </c>
      <c r="C36" s="74">
        <v>5516052</v>
      </c>
      <c r="D36" s="74">
        <v>4943088</v>
      </c>
      <c r="E36" s="74">
        <f>D36-C36</f>
        <v>-572964</v>
      </c>
      <c r="F36" s="75">
        <f t="shared" si="0"/>
        <v>-0.10387211723167222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 t="shared" si="0"/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12506679</v>
      </c>
      <c r="C40" s="120">
        <f>C38+C36+C34+C30</f>
        <v>13559698</v>
      </c>
      <c r="D40" s="120">
        <f>D38+D36+D34+D30</f>
        <v>13913560</v>
      </c>
      <c r="E40" s="120">
        <f>D40-C40</f>
        <v>353862</v>
      </c>
      <c r="F40" s="121">
        <f t="shared" si="0"/>
        <v>0.02609659890655382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6186291</v>
      </c>
      <c r="C42" s="78">
        <v>7603894</v>
      </c>
      <c r="D42" s="78">
        <v>7581327</v>
      </c>
      <c r="E42" s="78">
        <f aca="true" t="shared" si="2" ref="E42:E48">D42-C42</f>
        <v>-22567</v>
      </c>
      <c r="F42" s="92">
        <f aca="true" t="shared" si="3" ref="F42:F55">IF(ISERROR(E42/C42),0,(E42/C42))</f>
        <v>-0.0029678214872537675</v>
      </c>
    </row>
    <row r="43" spans="1:6" ht="91.5">
      <c r="A43" s="80" t="s">
        <v>20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3"/>
        <v>0</v>
      </c>
    </row>
    <row r="44" spans="1:6" ht="91.5">
      <c r="A44" s="80" t="s">
        <v>21</v>
      </c>
      <c r="B44" s="78">
        <v>0</v>
      </c>
      <c r="C44" s="78">
        <v>0</v>
      </c>
      <c r="D44" s="78">
        <v>0</v>
      </c>
      <c r="E44" s="78">
        <f t="shared" si="2"/>
        <v>0</v>
      </c>
      <c r="F44" s="90">
        <f t="shared" si="3"/>
        <v>0</v>
      </c>
    </row>
    <row r="45" spans="1:6" ht="91.5">
      <c r="A45" s="80" t="s">
        <v>49</v>
      </c>
      <c r="B45" s="78">
        <v>637084</v>
      </c>
      <c r="C45" s="78">
        <v>605254</v>
      </c>
      <c r="D45" s="78">
        <v>647078</v>
      </c>
      <c r="E45" s="78">
        <f t="shared" si="2"/>
        <v>41824</v>
      </c>
      <c r="F45" s="90">
        <f t="shared" si="3"/>
        <v>0.06910156727588748</v>
      </c>
    </row>
    <row r="46" spans="1:6" ht="91.5">
      <c r="A46" s="80" t="s">
        <v>22</v>
      </c>
      <c r="B46" s="78">
        <v>863425</v>
      </c>
      <c r="C46" s="78">
        <v>875625</v>
      </c>
      <c r="D46" s="78">
        <v>921190</v>
      </c>
      <c r="E46" s="78">
        <f t="shared" si="2"/>
        <v>45565</v>
      </c>
      <c r="F46" s="90">
        <f t="shared" si="3"/>
        <v>0.052037116345467524</v>
      </c>
    </row>
    <row r="47" spans="1:6" ht="91.5">
      <c r="A47" s="80" t="s">
        <v>23</v>
      </c>
      <c r="B47" s="78">
        <v>2254390</v>
      </c>
      <c r="C47" s="78">
        <v>2099642</v>
      </c>
      <c r="D47" s="78">
        <v>2288485</v>
      </c>
      <c r="E47" s="78">
        <f t="shared" si="2"/>
        <v>188843</v>
      </c>
      <c r="F47" s="90">
        <f t="shared" si="3"/>
        <v>0.08994057082112093</v>
      </c>
    </row>
    <row r="48" spans="1:6" ht="91.5">
      <c r="A48" s="80" t="s">
        <v>24</v>
      </c>
      <c r="B48" s="78">
        <v>244969</v>
      </c>
      <c r="C48" s="78">
        <v>301431</v>
      </c>
      <c r="D48" s="78">
        <v>301431</v>
      </c>
      <c r="E48" s="78">
        <f t="shared" si="2"/>
        <v>0</v>
      </c>
      <c r="F48" s="90">
        <f t="shared" si="3"/>
        <v>0</v>
      </c>
    </row>
    <row r="49" spans="1:6" ht="91.5">
      <c r="A49" s="80" t="s">
        <v>25</v>
      </c>
      <c r="B49" s="78">
        <v>2320520</v>
      </c>
      <c r="C49" s="78">
        <v>2067870</v>
      </c>
      <c r="D49" s="78">
        <v>2168067</v>
      </c>
      <c r="E49" s="78">
        <f aca="true" t="shared" si="4" ref="E49:E54">D49-C49</f>
        <v>100197</v>
      </c>
      <c r="F49" s="90">
        <f t="shared" si="3"/>
        <v>0.04845420650234299</v>
      </c>
    </row>
    <row r="50" spans="1:6" ht="91.5">
      <c r="A50" s="93" t="s">
        <v>26</v>
      </c>
      <c r="B50" s="83">
        <f>SUM(B42:B49)</f>
        <v>12506679</v>
      </c>
      <c r="C50" s="83">
        <f>SUM(C42:C49)</f>
        <v>13553716</v>
      </c>
      <c r="D50" s="83">
        <f>SUM(D42:D49)</f>
        <v>13907578</v>
      </c>
      <c r="E50" s="74">
        <f t="shared" si="4"/>
        <v>353862</v>
      </c>
      <c r="F50" s="87">
        <f t="shared" si="3"/>
        <v>0.026108116770338113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4"/>
        <v>0</v>
      </c>
      <c r="F51" s="90">
        <f t="shared" si="3"/>
        <v>0</v>
      </c>
    </row>
    <row r="52" spans="1:6" ht="91.5">
      <c r="A52" s="80" t="s">
        <v>28</v>
      </c>
      <c r="B52" s="78">
        <v>0</v>
      </c>
      <c r="C52" s="78">
        <v>5982</v>
      </c>
      <c r="D52" s="78">
        <v>5982</v>
      </c>
      <c r="E52" s="78">
        <f t="shared" si="4"/>
        <v>0</v>
      </c>
      <c r="F52" s="90">
        <f t="shared" si="3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 t="shared" si="4"/>
        <v>0</v>
      </c>
      <c r="F53" s="90">
        <f t="shared" si="3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 t="shared" si="4"/>
        <v>0</v>
      </c>
      <c r="F54" s="90">
        <f t="shared" si="3"/>
        <v>0</v>
      </c>
    </row>
    <row r="55" spans="1:6" ht="91.5">
      <c r="A55" s="94" t="s">
        <v>31</v>
      </c>
      <c r="B55" s="85">
        <f>B54+B53+B52+B51+B50</f>
        <v>12506679</v>
      </c>
      <c r="C55" s="85">
        <f>C54+C53+C52+C51+C50</f>
        <v>13559698</v>
      </c>
      <c r="D55" s="85">
        <f>D54+D53+D52+D51+D50</f>
        <v>13913560</v>
      </c>
      <c r="E55" s="85">
        <f>D55-C55</f>
        <v>353862</v>
      </c>
      <c r="F55" s="95">
        <f t="shared" si="3"/>
        <v>0.02609659890655382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7028436</v>
      </c>
      <c r="C57" s="78">
        <v>8107259</v>
      </c>
      <c r="D57" s="78">
        <v>8280369</v>
      </c>
      <c r="E57" s="78">
        <f>D57-C57</f>
        <v>173110</v>
      </c>
      <c r="F57" s="92">
        <f aca="true" t="shared" si="5" ref="F57:F74">IF(ISERROR(E57/C57),0,(E57/C57))</f>
        <v>0.021352469435107477</v>
      </c>
    </row>
    <row r="58" spans="1:6" ht="91.5">
      <c r="A58" s="80" t="s">
        <v>34</v>
      </c>
      <c r="B58" s="78">
        <v>98295</v>
      </c>
      <c r="C58" s="78">
        <v>119394</v>
      </c>
      <c r="D58" s="78">
        <v>119394</v>
      </c>
      <c r="E58" s="78">
        <f>D58-C58</f>
        <v>0</v>
      </c>
      <c r="F58" s="90">
        <f t="shared" si="5"/>
        <v>0</v>
      </c>
    </row>
    <row r="59" spans="1:6" ht="91.5">
      <c r="A59" s="80" t="s">
        <v>35</v>
      </c>
      <c r="B59" s="78">
        <v>2330115</v>
      </c>
      <c r="C59" s="78">
        <v>2534144</v>
      </c>
      <c r="D59" s="78">
        <v>2743970</v>
      </c>
      <c r="E59" s="78">
        <f>D59-C59</f>
        <v>209826</v>
      </c>
      <c r="F59" s="90">
        <f t="shared" si="5"/>
        <v>0.08279955677341146</v>
      </c>
    </row>
    <row r="60" spans="1:6" ht="91.5">
      <c r="A60" s="93" t="s">
        <v>36</v>
      </c>
      <c r="B60" s="96">
        <f>SUM(B57:B59)</f>
        <v>9456846</v>
      </c>
      <c r="C60" s="96">
        <f>SUM(C57:C59)</f>
        <v>10760797</v>
      </c>
      <c r="D60" s="96">
        <f>SUM(D57:D59)</f>
        <v>11143733</v>
      </c>
      <c r="E60" s="96">
        <f aca="true" t="shared" si="6" ref="E60:E74">D60-C60</f>
        <v>382936</v>
      </c>
      <c r="F60" s="97">
        <f t="shared" si="5"/>
        <v>0.035586211690453784</v>
      </c>
    </row>
    <row r="61" spans="1:6" ht="91.5">
      <c r="A61" s="80" t="s">
        <v>37</v>
      </c>
      <c r="B61" s="78">
        <v>96114</v>
      </c>
      <c r="C61" s="78">
        <v>147948</v>
      </c>
      <c r="D61" s="78">
        <v>155148</v>
      </c>
      <c r="E61" s="78">
        <f t="shared" si="6"/>
        <v>7200</v>
      </c>
      <c r="F61" s="90">
        <f t="shared" si="5"/>
        <v>0.04866574742477087</v>
      </c>
    </row>
    <row r="62" spans="1:6" ht="91.5">
      <c r="A62" s="80" t="s">
        <v>38</v>
      </c>
      <c r="B62" s="78">
        <v>982750</v>
      </c>
      <c r="C62" s="78">
        <v>1212590</v>
      </c>
      <c r="D62" s="78">
        <v>1167180</v>
      </c>
      <c r="E62" s="78">
        <f t="shared" si="6"/>
        <v>-45410</v>
      </c>
      <c r="F62" s="90">
        <f t="shared" si="5"/>
        <v>-0.03744876668948284</v>
      </c>
    </row>
    <row r="63" spans="1:6" ht="91.5">
      <c r="A63" s="80" t="s">
        <v>39</v>
      </c>
      <c r="B63" s="78">
        <v>670402</v>
      </c>
      <c r="C63" s="78">
        <v>405348</v>
      </c>
      <c r="D63" s="78">
        <v>378455</v>
      </c>
      <c r="E63" s="78">
        <f t="shared" si="6"/>
        <v>-26893</v>
      </c>
      <c r="F63" s="90">
        <f t="shared" si="5"/>
        <v>-0.06634546118397032</v>
      </c>
    </row>
    <row r="64" spans="1:6" ht="91.5">
      <c r="A64" s="76" t="s">
        <v>40</v>
      </c>
      <c r="B64" s="83">
        <f>SUM(B61:B63)</f>
        <v>1749266</v>
      </c>
      <c r="C64" s="83">
        <f>SUM(C61:C63)</f>
        <v>1765886</v>
      </c>
      <c r="D64" s="83">
        <f>SUM(D61:D63)</f>
        <v>1700783</v>
      </c>
      <c r="E64" s="83">
        <f t="shared" si="6"/>
        <v>-65103</v>
      </c>
      <c r="F64" s="87">
        <f t="shared" si="5"/>
        <v>-0.036867045777587</v>
      </c>
    </row>
    <row r="65" spans="1:6" ht="91.5">
      <c r="A65" s="80" t="s">
        <v>41</v>
      </c>
      <c r="B65" s="78">
        <v>78874</v>
      </c>
      <c r="C65" s="78">
        <v>17250</v>
      </c>
      <c r="D65" s="78">
        <v>15250</v>
      </c>
      <c r="E65" s="78">
        <f t="shared" si="6"/>
        <v>-2000</v>
      </c>
      <c r="F65" s="90">
        <f t="shared" si="5"/>
        <v>-0.11594202898550725</v>
      </c>
    </row>
    <row r="66" spans="1:6" ht="91.5">
      <c r="A66" s="80" t="s">
        <v>42</v>
      </c>
      <c r="B66" s="78">
        <v>364882</v>
      </c>
      <c r="C66" s="78">
        <v>367913</v>
      </c>
      <c r="D66" s="78">
        <v>367113</v>
      </c>
      <c r="E66" s="78">
        <f t="shared" si="6"/>
        <v>-800</v>
      </c>
      <c r="F66" s="90">
        <f t="shared" si="5"/>
        <v>-0.0021744271064083084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6"/>
        <v>0</v>
      </c>
      <c r="F67" s="90">
        <f t="shared" si="5"/>
        <v>0</v>
      </c>
    </row>
    <row r="68" spans="1:6" ht="91.5">
      <c r="A68" s="80" t="s">
        <v>44</v>
      </c>
      <c r="B68" s="78">
        <v>324135</v>
      </c>
      <c r="C68" s="78">
        <v>326654</v>
      </c>
      <c r="D68" s="78">
        <v>365354</v>
      </c>
      <c r="E68" s="78">
        <f t="shared" si="6"/>
        <v>38700</v>
      </c>
      <c r="F68" s="90">
        <f t="shared" si="5"/>
        <v>0.1184739816441862</v>
      </c>
    </row>
    <row r="69" spans="1:6" ht="91.5">
      <c r="A69" s="76" t="s">
        <v>45</v>
      </c>
      <c r="B69" s="85">
        <f>SUM(B65:B68)</f>
        <v>767891</v>
      </c>
      <c r="C69" s="85">
        <f>SUM(C65:C68)</f>
        <v>711817</v>
      </c>
      <c r="D69" s="85">
        <f>SUM(D65:D68)</f>
        <v>747717</v>
      </c>
      <c r="E69" s="85">
        <f t="shared" si="6"/>
        <v>35900</v>
      </c>
      <c r="F69" s="87">
        <f t="shared" si="5"/>
        <v>0.050434311065905985</v>
      </c>
    </row>
    <row r="70" spans="1:6" ht="91.5">
      <c r="A70" s="80" t="s">
        <v>57</v>
      </c>
      <c r="B70" s="78">
        <v>480946</v>
      </c>
      <c r="C70" s="78">
        <v>257327</v>
      </c>
      <c r="D70" s="78">
        <v>257327</v>
      </c>
      <c r="E70" s="78">
        <f t="shared" si="6"/>
        <v>0</v>
      </c>
      <c r="F70" s="90">
        <f t="shared" si="5"/>
        <v>0</v>
      </c>
    </row>
    <row r="71" spans="1:6" ht="91.5">
      <c r="A71" s="80" t="s">
        <v>46</v>
      </c>
      <c r="B71" s="78">
        <v>51730</v>
      </c>
      <c r="C71" s="78">
        <v>63871</v>
      </c>
      <c r="D71" s="78">
        <v>64000</v>
      </c>
      <c r="E71" s="78">
        <f t="shared" si="6"/>
        <v>129</v>
      </c>
      <c r="F71" s="90">
        <f t="shared" si="5"/>
        <v>0.00201969594964851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6"/>
        <v>0</v>
      </c>
      <c r="F72" s="90">
        <f t="shared" si="5"/>
        <v>0</v>
      </c>
    </row>
    <row r="73" spans="1:6" ht="91.5">
      <c r="A73" s="99" t="s">
        <v>48</v>
      </c>
      <c r="B73" s="85">
        <f>SUM(B70:B72)</f>
        <v>532676</v>
      </c>
      <c r="C73" s="85">
        <f>SUM(C70:C72)</f>
        <v>321198</v>
      </c>
      <c r="D73" s="85">
        <f>SUM(D70:D72)</f>
        <v>321327</v>
      </c>
      <c r="E73" s="85">
        <f t="shared" si="6"/>
        <v>129</v>
      </c>
      <c r="F73" s="95">
        <f t="shared" si="5"/>
        <v>0.00040162142977229</v>
      </c>
    </row>
    <row r="74" spans="1:6" ht="91.5">
      <c r="A74" s="94" t="s">
        <v>31</v>
      </c>
      <c r="B74" s="85">
        <f>B73+B69+B64+B60</f>
        <v>12506679</v>
      </c>
      <c r="C74" s="85">
        <f>C73+C69+C64+C60</f>
        <v>13559698</v>
      </c>
      <c r="D74" s="85">
        <f>D73+D69+D64+D60</f>
        <v>13913560</v>
      </c>
      <c r="E74" s="85">
        <f t="shared" si="6"/>
        <v>353862</v>
      </c>
      <c r="F74" s="95">
        <f t="shared" si="5"/>
        <v>0.02609659890655382</v>
      </c>
    </row>
    <row r="75" ht="91.5">
      <c r="A75" s="56" t="s">
        <v>186</v>
      </c>
    </row>
    <row r="76" spans="1:6" ht="91.5">
      <c r="A76" s="56" t="s">
        <v>0</v>
      </c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35" zoomScaleNormal="35" zoomScalePageLayoutView="0" workbookViewId="0" topLeftCell="A1">
      <selection activeCell="F82" sqref="A1:F82"/>
    </sheetView>
  </sheetViews>
  <sheetFormatPr defaultColWidth="8.88671875" defaultRowHeight="15"/>
  <cols>
    <col min="1" max="1" width="255.5546875" style="0" customWidth="1"/>
    <col min="2" max="2" width="75.21484375" style="0" customWidth="1"/>
    <col min="3" max="3" width="74.3359375" style="0" customWidth="1"/>
    <col min="4" max="4" width="76.21484375" style="0" customWidth="1"/>
    <col min="5" max="5" width="63.4453125" style="0" customWidth="1"/>
    <col min="6" max="6" width="71.77734375" style="0" customWidth="1"/>
  </cols>
  <sheetData>
    <row r="1" spans="1:6" ht="91.5">
      <c r="A1" s="50" t="s">
        <v>3</v>
      </c>
      <c r="B1" s="51"/>
      <c r="C1" s="52"/>
      <c r="D1" s="53"/>
      <c r="E1" s="54" t="s">
        <v>6</v>
      </c>
      <c r="F1" s="123" t="s">
        <v>196</v>
      </c>
    </row>
    <row r="2" spans="1:6" ht="91.5">
      <c r="A2" s="50" t="s">
        <v>4</v>
      </c>
      <c r="B2" s="51" t="s">
        <v>0</v>
      </c>
      <c r="C2" s="51"/>
      <c r="D2" s="51"/>
      <c r="E2" s="51"/>
      <c r="F2" s="57"/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0.7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8"/>
      <c r="C7" s="70"/>
      <c r="D7" s="70"/>
      <c r="E7" s="72"/>
      <c r="F7" s="71"/>
    </row>
    <row r="8" spans="1:6" ht="90">
      <c r="A8" s="73" t="s">
        <v>13</v>
      </c>
      <c r="B8" s="74">
        <f>-LSUE!B8-SUSBO!B8+'TOTAL ULS SYSTEM'!B8+'TOTAL LSU SYSTEM'!B8+'TOTAL SU SYSTEM'!B8-'ULSBOS-UD'!B8-'LSUHSC S'!B8-'EA CONWAY'!B8-PENNINGTON!B8-'LSU LAW'!B8-'LSU HSC NO'!B8-LSUBOS!B8-'LSU AG'!B8-SUAG!B8-SULAW!B8-SUBOS!B8</f>
        <v>670668965</v>
      </c>
      <c r="C8" s="74">
        <f>-LSUE!C8-SUSBO!C8+'TOTAL ULS SYSTEM'!C8+'TOTAL LSU SYSTEM'!C8+'TOTAL SU SYSTEM'!C8-'ULSBOS-UD'!C8-'LSUHSC S'!C8-'EA CONWAY'!C8-PENNINGTON!C8-'LSU LAW'!C8-'LSU HSC NO'!C8-LSUBOS!C8-'LSU AG'!C8-SUAG!C8-SULAW!C8-SUBOS!C8</f>
        <v>670668965</v>
      </c>
      <c r="D8" s="74">
        <f>-LSUE!D8-SUSBO!D8+'TOTAL ULS SYSTEM'!D8+'TOTAL LSU SYSTEM'!D8+'TOTAL SU SYSTEM'!D8-'ULSBOS-UD'!D8-'LSUHSC S'!D8-'EA CONWAY'!D8-PENNINGTON!D8-'LSU LAW'!D8-'LSU HSC NO'!D8-LSUBOS!D8-'LSU AG'!D8-SUAG!D8-SULAW!D8-SUBOS!D8</f>
        <v>815126906</v>
      </c>
      <c r="E8" s="74">
        <f>-LSUE!E8-SUSBO!E8+'TOTAL ULS SYSTEM'!E8+'TOTAL LSU SYSTEM'!E8+'TOTAL SU SYSTEM'!E8-'ULSBOS-UD'!E8-'LSUHSC S'!E8-'EA CONWAY'!E8-PENNINGTON!E8-'LSU LAW'!E8-'LSU HSC NO'!E8-LSUBOS!E8-'LSU AG'!E8-SUAG!E8-SULAW!E8-SUBOS!E8</f>
        <v>144457941</v>
      </c>
      <c r="F8" s="75">
        <f>IF(ISERROR(E8/C8),0,(E8/C8))</f>
        <v>0.21539380609329373</v>
      </c>
    </row>
    <row r="9" spans="1:6" ht="90">
      <c r="A9" s="76" t="s">
        <v>60</v>
      </c>
      <c r="B9" s="74">
        <f>SUM(B10:B23)</f>
        <v>43654529</v>
      </c>
      <c r="C9" s="74">
        <f>SUM(C10:C23)</f>
        <v>43654529</v>
      </c>
      <c r="D9" s="74">
        <f>SUM(D10:D23)</f>
        <v>41143885</v>
      </c>
      <c r="E9" s="74">
        <f>SUM(E10:E23)</f>
        <v>-2510644</v>
      </c>
      <c r="F9" s="75">
        <f aca="true" t="shared" si="0" ref="F9:F30">IF(ISERROR(E9/C9),0,(E9/C9))</f>
        <v>-0.057511650165782344</v>
      </c>
    </row>
    <row r="10" spans="1:6" ht="91.5">
      <c r="A10" s="77" t="s">
        <v>61</v>
      </c>
      <c r="B10" s="78">
        <f>-LSUE!B10-SUSBO!B10+'TOTAL ULS SYSTEM'!B10+'TOTAL LSU SYSTEM'!B10+'TOTAL SU SYSTEM'!B10-'ULSBOS-UD'!B10-'LSUHSC S'!B10-'EA CONWAY'!B10-PENNINGTON!B10-'LSU LAW'!B10-'LSU HSC NO'!B10-LSUBOS!B10-'LSU AG'!B10-SUAG!B10-SULAW!B10-SUBOS!B10</f>
        <v>9022398</v>
      </c>
      <c r="C10" s="78">
        <f>-LSUE!C10-SUSBO!C10+'TOTAL ULS SYSTEM'!C10+'TOTAL LSU SYSTEM'!C10+'TOTAL SU SYSTEM'!C10-'ULSBOS-UD'!C10-'LSUHSC S'!C10-'EA CONWAY'!C10-PENNINGTON!C10-'LSU LAW'!C10-'LSU HSC NO'!C10-LSUBOS!C10-'LSU AG'!C10-SUAG!C10-SULAW!C10-SUBOS!C10</f>
        <v>9022398</v>
      </c>
      <c r="D10" s="78">
        <f>-LSUE!D10-SUSBO!D10+'TOTAL ULS SYSTEM'!D10+'TOTAL LSU SYSTEM'!D10+'TOTAL SU SYSTEM'!D10-'ULSBOS-UD'!D10-'LSUHSC S'!D10-'EA CONWAY'!D10-PENNINGTON!D10-'LSU LAW'!D10-'LSU HSC NO'!D10-LSUBOS!D10-'LSU AG'!D10-SUAG!D10-SULAW!D10-SUBOS!D10</f>
        <v>6151790</v>
      </c>
      <c r="E10" s="78">
        <f>-LSUE!E10-SUSBO!E10+'TOTAL ULS SYSTEM'!E10+'TOTAL LSU SYSTEM'!E10+'TOTAL SU SYSTEM'!E10-'ULSBOS-UD'!E10-'LSUHSC S'!E10-'EA CONWAY'!E10-PENNINGTON!E10-'LSU LAW'!E10-'LSU HSC NO'!E10-LSUBOS!E10-'LSU AG'!E10-SUAG!E10-SULAW!E10-SUBOS!E10</f>
        <v>-2870608</v>
      </c>
      <c r="F10" s="79">
        <f t="shared" si="0"/>
        <v>-0.31816463871356593</v>
      </c>
    </row>
    <row r="11" spans="1:6" ht="91.5">
      <c r="A11" s="80" t="s">
        <v>62</v>
      </c>
      <c r="B11" s="78">
        <f>-LSUE!B11-SUSBO!B11+'TOTAL ULS SYSTEM'!B11+'TOTAL LSU SYSTEM'!B11+'TOTAL SU SYSTEM'!B11-'ULSBOS-UD'!B11-'LSUHSC S'!B11-'EA CONWAY'!B11-PENNINGTON!B11-'LSU LAW'!B11-'LSU HSC NO'!B11-LSUBOS!B11-'LSU AG'!B11-SUAG!B11-SULAW!B11-SUBOS!B11</f>
        <v>30430856</v>
      </c>
      <c r="C11" s="78">
        <f>-LSUE!C11-SUSBO!C11+'TOTAL ULS SYSTEM'!C11+'TOTAL LSU SYSTEM'!C11+'TOTAL SU SYSTEM'!C11-'ULSBOS-UD'!C11-'LSUHSC S'!C11-'EA CONWAY'!C11-PENNINGTON!C11-'LSU LAW'!C11-'LSU HSC NO'!C11-LSUBOS!C11-'LSU AG'!C11-SUAG!C11-SULAW!C11-SUBOS!C11</f>
        <v>30430856</v>
      </c>
      <c r="D11" s="78">
        <f>-LSUE!D11-SUSBO!D11+'TOTAL ULS SYSTEM'!D11+'TOTAL LSU SYSTEM'!D11+'TOTAL SU SYSTEM'!D11-'ULSBOS-UD'!D11-'LSUHSC S'!D11-'EA CONWAY'!D11-PENNINGTON!D11-'LSU LAW'!D11-'LSU HSC NO'!D11-LSUBOS!D11-'LSU AG'!D11-SUAG!D11-SULAW!D11-SUBOS!D11</f>
        <v>31103542</v>
      </c>
      <c r="E11" s="78">
        <f>-LSUE!E11-SUSBO!E11+'TOTAL ULS SYSTEM'!E11+'TOTAL LSU SYSTEM'!E11+'TOTAL SU SYSTEM'!E11-'ULSBOS-UD'!E11-'LSUHSC S'!E11-'EA CONWAY'!E11-PENNINGTON!E11-'LSU LAW'!E11-'LSU HSC NO'!E11-LSUBOS!E11-'LSU AG'!E11-SUAG!E11-SULAW!E11-SUBOS!E11</f>
        <v>672686</v>
      </c>
      <c r="F11" s="79">
        <f t="shared" si="0"/>
        <v>0.02210539197451429</v>
      </c>
    </row>
    <row r="12" spans="1:6" ht="91.5">
      <c r="A12" s="80" t="s">
        <v>65</v>
      </c>
      <c r="B12" s="78">
        <f>-LSUE!B12-SUSBO!B12+'TOTAL ULS SYSTEM'!B12+'TOTAL LSU SYSTEM'!B12+'TOTAL SU SYSTEM'!B12-'ULSBOS-UD'!B12-'LSUHSC S'!B12-'EA CONWAY'!B12-PENNINGTON!B12-'LSU LAW'!B12-'LSU HSC NO'!B12-LSUBOS!B12-'LSU AG'!B12-SUAG!B12-SULAW!B12-SUBOS!B12</f>
        <v>0</v>
      </c>
      <c r="C12" s="78">
        <f>-LSUE!C12-SUSBO!C12+'TOTAL ULS SYSTEM'!C12+'TOTAL LSU SYSTEM'!C12+'TOTAL SU SYSTEM'!C12-'ULSBOS-UD'!C12-'LSUHSC S'!C12-'EA CONWAY'!C12-PENNINGTON!C12-'LSU LAW'!C12-'LSU HSC NO'!C12-LSUBOS!C12-'LSU AG'!C12-SUAG!C12-SULAW!C12-SUBOS!C12</f>
        <v>0</v>
      </c>
      <c r="D12" s="78">
        <f>-LSUE!D12-SUSBO!D12+'TOTAL ULS SYSTEM'!D12+'TOTAL LSU SYSTEM'!D12+'TOTAL SU SYSTEM'!D12-'ULSBOS-UD'!D12-'LSUHSC S'!D12-'EA CONWAY'!D12-PENNINGTON!D12-'LSU LAW'!D12-'LSU HSC NO'!D12-LSUBOS!D12-'LSU AG'!D12-SUAG!D12-SULAW!D12-SUBOS!D12</f>
        <v>0</v>
      </c>
      <c r="E12" s="78">
        <f>-LSUE!E12-SUSBO!E12+'TOTAL ULS SYSTEM'!E12+'TOTAL LSU SYSTEM'!E12+'TOTAL SU SYSTEM'!E12-'ULSBOS-UD'!E12-'LSUHSC S'!E12-'EA CONWAY'!E12-PENNINGTON!E12-'LSU LAW'!E12-'LSU HSC NO'!E12-LSUBOS!E12-'LSU AG'!E12-SUAG!E12-SULAW!E12-SUBOS!E12</f>
        <v>0</v>
      </c>
      <c r="F12" s="79">
        <f t="shared" si="0"/>
        <v>0</v>
      </c>
    </row>
    <row r="13" spans="1:6" ht="91.5">
      <c r="A13" s="80" t="s">
        <v>66</v>
      </c>
      <c r="B13" s="78">
        <f>-LSUE!B13-SUSBO!B13+'TOTAL ULS SYSTEM'!B13+'TOTAL LSU SYSTEM'!B13+'TOTAL SU SYSTEM'!B13-'ULSBOS-UD'!B13-'LSUHSC S'!B13-'EA CONWAY'!B13-PENNINGTON!B13-'LSU LAW'!B13-'LSU HSC NO'!B13-LSUBOS!B13-'LSU AG'!B13-SUAG!B13-SULAW!B13-SUBOS!B13</f>
        <v>350464</v>
      </c>
      <c r="C13" s="78">
        <f>-LSUE!C13-SUSBO!C13+'TOTAL ULS SYSTEM'!C13+'TOTAL LSU SYSTEM'!C13+'TOTAL SU SYSTEM'!C13-'ULSBOS-UD'!C13-'LSUHSC S'!C13-'EA CONWAY'!C13-PENNINGTON!C13-'LSU LAW'!C13-'LSU HSC NO'!C13-LSUBOS!C13-'LSU AG'!C13-SUAG!C13-SULAW!C13-SUBOS!C13</f>
        <v>350464</v>
      </c>
      <c r="D13" s="78">
        <f>-LSUE!D13-SUSBO!D13+'TOTAL ULS SYSTEM'!D13+'TOTAL LSU SYSTEM'!D13+'TOTAL SU SYSTEM'!D13-'ULSBOS-UD'!D13-'LSUHSC S'!D13-'EA CONWAY'!D13-PENNINGTON!D13-'LSU LAW'!D13-'LSU HSC NO'!D13-LSUBOS!D13-'LSU AG'!D13-SUAG!D13-SULAW!D13-SUBOS!D13</f>
        <v>551240</v>
      </c>
      <c r="E13" s="78">
        <f>-LSUE!E13-SUSBO!E13+'TOTAL ULS SYSTEM'!E13+'TOTAL LSU SYSTEM'!E13+'TOTAL SU SYSTEM'!E13-'ULSBOS-UD'!E13-'LSUHSC S'!E13-'EA CONWAY'!E13-PENNINGTON!E13-'LSU LAW'!E13-'LSU HSC NO'!E13-LSUBOS!E13-'LSU AG'!E13-SUAG!E13-SULAW!E13-SUBOS!E13</f>
        <v>200776</v>
      </c>
      <c r="F13" s="79">
        <f t="shared" si="0"/>
        <v>0.57288623082542</v>
      </c>
    </row>
    <row r="14" spans="1:6" ht="91.5">
      <c r="A14" s="80" t="s">
        <v>67</v>
      </c>
      <c r="B14" s="78">
        <f>-LSUE!B14-SUSBO!B14+'TOTAL ULS SYSTEM'!B14+'TOTAL LSU SYSTEM'!B14+'TOTAL SU SYSTEM'!B14-'ULSBOS-UD'!B14-'LSUHSC S'!B14-'EA CONWAY'!B14-PENNINGTON!B14-'LSU LAW'!B14-'LSU HSC NO'!B14-LSUBOS!B14-'LSU AG'!B14-SUAG!B14-SULAW!B14-SUBOS!B14</f>
        <v>50000</v>
      </c>
      <c r="C14" s="78">
        <f>-LSUE!C14-SUSBO!C14+'TOTAL ULS SYSTEM'!C14+'TOTAL LSU SYSTEM'!C14+'TOTAL SU SYSTEM'!C14-'ULSBOS-UD'!C14-'LSUHSC S'!C14-'EA CONWAY'!C14-PENNINGTON!C14-'LSU LAW'!C14-'LSU HSC NO'!C14-LSUBOS!C14-'LSU AG'!C14-SUAG!C14-SULAW!C14-SUBOS!C14</f>
        <v>50000</v>
      </c>
      <c r="D14" s="78">
        <f>-LSUE!D14-SUSBO!D14+'TOTAL ULS SYSTEM'!D14+'TOTAL LSU SYSTEM'!D14+'TOTAL SU SYSTEM'!D14-'ULSBOS-UD'!D14-'LSUHSC S'!D14-'EA CONWAY'!D14-PENNINGTON!D14-'LSU LAW'!D14-'LSU HSC NO'!D14-LSUBOS!D14-'LSU AG'!D14-SUAG!D14-SULAW!D14-SUBOS!D14</f>
        <v>50000</v>
      </c>
      <c r="E14" s="78">
        <f>-LSUE!E14-SUSBO!E14+'TOTAL ULS SYSTEM'!E14+'TOTAL LSU SYSTEM'!E14+'TOTAL SU SYSTEM'!E14-'ULSBOS-UD'!E14-'LSUHSC S'!E14-'EA CONWAY'!E14-PENNINGTON!E14-'LSU LAW'!E14-'LSU HSC NO'!E14-LSUBOS!E14-'LSU AG'!E14-SUAG!E14-SULAW!E14-SUBOS!E14</f>
        <v>0</v>
      </c>
      <c r="F14" s="79">
        <f t="shared" si="0"/>
        <v>0</v>
      </c>
    </row>
    <row r="15" spans="1:6" ht="91.5">
      <c r="A15" s="80" t="s">
        <v>74</v>
      </c>
      <c r="B15" s="78">
        <f>-LSUE!B15-SUSBO!B15+'TOTAL ULS SYSTEM'!B15+'TOTAL LSU SYSTEM'!B15+'TOTAL SU SYSTEM'!B15-'ULSBOS-UD'!B15-'LSUHSC S'!B15-'EA CONWAY'!B15-PENNINGTON!B15-'LSU LAW'!B15-'LSU HSC NO'!B15-LSUBOS!B15-'LSU AG'!B15-SUAG!B15-SULAW!B15-SUBOS!B15</f>
        <v>0</v>
      </c>
      <c r="C15" s="78">
        <f>-LSUE!C15-SUSBO!C15+'TOTAL ULS SYSTEM'!C15+'TOTAL LSU SYSTEM'!C15+'TOTAL SU SYSTEM'!C15-'ULSBOS-UD'!C15-'LSUHSC S'!C15-'EA CONWAY'!C15-PENNINGTON!C15-'LSU LAW'!C15-'LSU HSC NO'!C15-LSUBOS!C15-'LSU AG'!C15-SUAG!C15-SULAW!C15-SUBOS!C15</f>
        <v>0</v>
      </c>
      <c r="D15" s="78">
        <f>-LSUE!D15-SUSBO!D15+'TOTAL ULS SYSTEM'!D15+'TOTAL LSU SYSTEM'!D15+'TOTAL SU SYSTEM'!D15-'ULSBOS-UD'!D15-'LSUHSC S'!D15-'EA CONWAY'!D15-PENNINGTON!D15-'LSU LAW'!D15-'LSU HSC NO'!D15-LSUBOS!D15-'LSU AG'!D15-SUAG!D15-SULAW!D15-SUBOS!D15</f>
        <v>0</v>
      </c>
      <c r="E15" s="78">
        <f>-LSUE!E15-SUSBO!E15+'TOTAL ULS SYSTEM'!E15+'TOTAL LSU SYSTEM'!E15+'TOTAL SU SYSTEM'!E15-'ULSBOS-UD'!E15-'LSUHSC S'!E15-'EA CONWAY'!E15-PENNINGTON!E15-'LSU LAW'!E15-'LSU HSC NO'!E15-LSUBOS!E15-'LSU AG'!E15-SUAG!E15-SULAW!E15-SUBOS!E15</f>
        <v>0</v>
      </c>
      <c r="F15" s="79">
        <f t="shared" si="0"/>
        <v>0</v>
      </c>
    </row>
    <row r="16" spans="1:6" ht="91.5">
      <c r="A16" s="80" t="s">
        <v>63</v>
      </c>
      <c r="B16" s="78">
        <f>-LSUE!B16-SUSBO!B16+'TOTAL ULS SYSTEM'!B16+'TOTAL LSU SYSTEM'!B16+'TOTAL SU SYSTEM'!B16-'ULSBOS-UD'!B16-'LSUHSC S'!B16-'EA CONWAY'!B16-PENNINGTON!B16-'LSU LAW'!B16-'LSU HSC NO'!B16-LSUBOS!B16-'LSU AG'!B16-SUAG!B16-SULAW!B16-SUBOS!B16</f>
        <v>750000</v>
      </c>
      <c r="C16" s="78">
        <f>-LSUE!C16-SUSBO!C16+'TOTAL ULS SYSTEM'!C16+'TOTAL LSU SYSTEM'!C16+'TOTAL SU SYSTEM'!C16-'ULSBOS-UD'!C16-'LSUHSC S'!C16-'EA CONWAY'!C16-PENNINGTON!C16-'LSU LAW'!C16-'LSU HSC NO'!C16-LSUBOS!C16-'LSU AG'!C16-SUAG!C16-SULAW!C16-SUBOS!C16</f>
        <v>750000</v>
      </c>
      <c r="D16" s="78">
        <f>-LSUE!D16-SUSBO!D16+'TOTAL ULS SYSTEM'!D16+'TOTAL LSU SYSTEM'!D16+'TOTAL SU SYSTEM'!D16-'ULSBOS-UD'!D16-'LSUHSC S'!D16-'EA CONWAY'!D16-PENNINGTON!D16-'LSU LAW'!D16-'LSU HSC NO'!D16-LSUBOS!D16-'LSU AG'!D16-SUAG!D16-SULAW!D16-SUBOS!D16</f>
        <v>750000</v>
      </c>
      <c r="E16" s="78">
        <f>-LSUE!E16-SUSBO!E16+'TOTAL ULS SYSTEM'!E16+'TOTAL LSU SYSTEM'!E16+'TOTAL SU SYSTEM'!E16-'ULSBOS-UD'!E16-'LSUHSC S'!E16-'EA CONWAY'!E16-PENNINGTON!E16-'LSU LAW'!E16-'LSU HSC NO'!E16-LSUBOS!E16-'LSU AG'!E16-SUAG!E16-SULAW!E16-SUBOS!E16</f>
        <v>0</v>
      </c>
      <c r="F16" s="79">
        <f t="shared" si="0"/>
        <v>0</v>
      </c>
    </row>
    <row r="17" spans="1:6" ht="91.5">
      <c r="A17" s="80" t="s">
        <v>64</v>
      </c>
      <c r="B17" s="78">
        <f>-LSUE!B17-SUSBO!B17+'TOTAL ULS SYSTEM'!B17+'TOTAL LSU SYSTEM'!B17+'TOTAL SU SYSTEM'!B17-'ULSBOS-UD'!B17-'LSUHSC S'!B17-'EA CONWAY'!B17-PENNINGTON!B17-'LSU LAW'!B17-'LSU HSC NO'!B17-LSUBOS!B17-'LSU AG'!B17-SUAG!B17-SULAW!B17-SUBOS!B17</f>
        <v>2327313</v>
      </c>
      <c r="C17" s="78">
        <f>-LSUE!C17-SUSBO!C17+'TOTAL ULS SYSTEM'!C17+'TOTAL LSU SYSTEM'!C17+'TOTAL SU SYSTEM'!C17-'ULSBOS-UD'!C17-'LSUHSC S'!C17-'EA CONWAY'!C17-PENNINGTON!C17-'LSU LAW'!C17-'LSU HSC NO'!C17-LSUBOS!C17-'LSU AG'!C17-SUAG!C17-SULAW!C17-SUBOS!C17</f>
        <v>2327313</v>
      </c>
      <c r="D17" s="78">
        <f>-LSUE!D17-SUSBO!D17+'TOTAL ULS SYSTEM'!D17+'TOTAL LSU SYSTEM'!D17+'TOTAL SU SYSTEM'!D17-'ULSBOS-UD'!D17-'LSUHSC S'!D17-'EA CONWAY'!D17-PENNINGTON!D17-'LSU LAW'!D17-'LSU HSC NO'!D17-LSUBOS!D17-'LSU AG'!D17-SUAG!D17-SULAW!D17-SUBOS!D17</f>
        <v>2327313</v>
      </c>
      <c r="E17" s="78">
        <f>-LSUE!E17-SUSBO!E17+'TOTAL ULS SYSTEM'!E17+'TOTAL LSU SYSTEM'!E17+'TOTAL SU SYSTEM'!E17-'ULSBOS-UD'!E17-'LSUHSC S'!E17-'EA CONWAY'!E17-PENNINGTON!E17-'LSU LAW'!E17-'LSU HSC NO'!E17-LSUBOS!E17-'LSU AG'!E17-SUAG!E17-SULAW!E17-SUBOS!E17</f>
        <v>0</v>
      </c>
      <c r="F17" s="79">
        <f t="shared" si="0"/>
        <v>0</v>
      </c>
    </row>
    <row r="18" spans="1:6" ht="91.5">
      <c r="A18" s="80" t="s">
        <v>73</v>
      </c>
      <c r="B18" s="78">
        <f>-LSUE!B18-SUSBO!B18+'TOTAL ULS SYSTEM'!B18+'TOTAL LSU SYSTEM'!B18+'TOTAL SU SYSTEM'!B18-'ULSBOS-UD'!B18-'LSUHSC S'!B18-'EA CONWAY'!B18-PENNINGTON!B18-'LSU LAW'!B18-'LSU HSC NO'!B18-LSUBOS!B18-'LSU AG'!B18-SUAG!B18-SULAW!B18-SUBOS!B18</f>
        <v>140000</v>
      </c>
      <c r="C18" s="78">
        <f>-LSUE!C18-SUSBO!C18+'TOTAL ULS SYSTEM'!C18+'TOTAL LSU SYSTEM'!C18+'TOTAL SU SYSTEM'!C18-'ULSBOS-UD'!C18-'LSUHSC S'!C18-'EA CONWAY'!C18-PENNINGTON!C18-'LSU LAW'!C18-'LSU HSC NO'!C18-LSUBOS!C18-'LSU AG'!C18-SUAG!C18-SULAW!C18-SUBOS!C18</f>
        <v>140000</v>
      </c>
      <c r="D18" s="78">
        <f>-LSUE!D18-SUSBO!D18+'TOTAL ULS SYSTEM'!D18+'TOTAL LSU SYSTEM'!D18+'TOTAL SU SYSTEM'!D18-'ULSBOS-UD'!D18-'LSUHSC S'!D18-'EA CONWAY'!D18-PENNINGTON!D18-'LSU LAW'!D18-'LSU HSC NO'!D18-LSUBOS!D18-'LSU AG'!D18-SUAG!D18-SULAW!D18-SUBOS!D18</f>
        <v>210000</v>
      </c>
      <c r="E18" s="78">
        <f>-LSUE!E18-SUSBO!E18+'TOTAL ULS SYSTEM'!E18+'TOTAL LSU SYSTEM'!E18+'TOTAL SU SYSTEM'!E18-'ULSBOS-UD'!E18-'LSUHSC S'!E18-'EA CONWAY'!E18-PENNINGTON!E18-'LSU LAW'!E18-'LSU HSC NO'!E18-LSUBOS!E18-'LSU AG'!E18-SUAG!E18-SULAW!E18-SUBOS!E18</f>
        <v>70000</v>
      </c>
      <c r="F18" s="79">
        <f t="shared" si="0"/>
        <v>0.5</v>
      </c>
    </row>
    <row r="19" spans="1:6" ht="91.5">
      <c r="A19" s="80" t="s">
        <v>96</v>
      </c>
      <c r="B19" s="78">
        <f>-LSUE!B19-SUSBO!B19+'TOTAL ULS SYSTEM'!B19+'TOTAL LSU SYSTEM'!B19+'TOTAL SU SYSTEM'!B19-'ULSBOS-UD'!B19-'LSUHSC S'!B19-'EA CONWAY'!B19-PENNINGTON!B19-'LSU LAW'!B19-'LSU HSC NO'!B19-LSUBOS!B19-'LSU AG'!B19-SUAG!B19-SULAW!B19-SUBOS!B19</f>
        <v>583498</v>
      </c>
      <c r="C19" s="78">
        <f>-LSUE!C19-SUSBO!C19+'TOTAL ULS SYSTEM'!C19+'TOTAL LSU SYSTEM'!C19+'TOTAL SU SYSTEM'!C19-'ULSBOS-UD'!C19-'LSUHSC S'!C19-'EA CONWAY'!C19-PENNINGTON!C19-'LSU LAW'!C19-'LSU HSC NO'!C19-LSUBOS!C19-'LSU AG'!C19-SUAG!C19-SULAW!C19-SUBOS!C19</f>
        <v>583498</v>
      </c>
      <c r="D19" s="78">
        <f>-LSUE!D19-SUSBO!D19+'TOTAL ULS SYSTEM'!D19+'TOTAL LSU SYSTEM'!D19+'TOTAL SU SYSTEM'!D19-'ULSBOS-UD'!D19-'LSUHSC S'!D19-'EA CONWAY'!D19-PENNINGTON!D19-'LSU LAW'!D19-'LSU HSC NO'!D19-LSUBOS!D19-'LSU AG'!D19-SUAG!D19-SULAW!D19-SUBOS!D19</f>
        <v>0</v>
      </c>
      <c r="E19" s="78">
        <f>-LSUE!E19-SUSBO!E19+'TOTAL ULS SYSTEM'!E19+'TOTAL LSU SYSTEM'!E19+'TOTAL SU SYSTEM'!E19-'ULSBOS-UD'!E19-'LSUHSC S'!E19-'EA CONWAY'!E19-PENNINGTON!E19-'LSU LAW'!E19-'LSU HSC NO'!E19-LSUBOS!E19-'LSU AG'!E19-SUAG!E19-SULAW!E19-SUBOS!E19</f>
        <v>-583498</v>
      </c>
      <c r="F19" s="79">
        <f t="shared" si="0"/>
        <v>-1</v>
      </c>
    </row>
    <row r="20" spans="1:6" ht="91.5">
      <c r="A20" s="80" t="s">
        <v>68</v>
      </c>
      <c r="B20" s="78">
        <f>-LSUE!B20-SUSBO!B20+'TOTAL ULS SYSTEM'!B20+'TOTAL LSU SYSTEM'!B20+'TOTAL SU SYSTEM'!B20-'ULSBOS-UD'!B20-'LSUHSC S'!B20-'EA CONWAY'!B20-PENNINGTON!B20-'LSU LAW'!B20-'LSU HSC NO'!B20-LSUBOS!B20-'LSU AG'!B20-SUAG!B20-SULAW!B20-SUBOS!B20</f>
        <v>0</v>
      </c>
      <c r="C20" s="78">
        <f>-LSUE!C20-SUSBO!C20+'TOTAL ULS SYSTEM'!C20+'TOTAL LSU SYSTEM'!C20+'TOTAL SU SYSTEM'!C20-'ULSBOS-UD'!C20-'LSUHSC S'!C20-'EA CONWAY'!C20-PENNINGTON!C20-'LSU LAW'!C20-'LSU HSC NO'!C20-LSUBOS!C20-'LSU AG'!C20-SUAG!C20-SULAW!C20-SUBOS!C20</f>
        <v>0</v>
      </c>
      <c r="D20" s="78">
        <f>-LSUE!D20-SUSBO!D20+'TOTAL ULS SYSTEM'!D20+'TOTAL LSU SYSTEM'!D20+'TOTAL SU SYSTEM'!D20-'ULSBOS-UD'!D20-'LSUHSC S'!D20-'EA CONWAY'!D20-PENNINGTON!D20-'LSU LAW'!D20-'LSU HSC NO'!D20-LSUBOS!D20-'LSU AG'!D20-SUAG!D20-SULAW!D20-SUBOS!D20</f>
        <v>0</v>
      </c>
      <c r="E20" s="78">
        <f>-LSUE!E20-SUSBO!E20+'TOTAL ULS SYSTEM'!E20+'TOTAL LSU SYSTEM'!E20+'TOTAL SU SYSTEM'!E20-'ULSBOS-UD'!E20-'LSUHSC S'!E20-'EA CONWAY'!E20-PENNINGTON!E20-'LSU LAW'!E20-'LSU HSC NO'!E20-LSUBOS!E20-'LSU AG'!E20-SUAG!E20-SULAW!E20-SUBOS!E20</f>
        <v>0</v>
      </c>
      <c r="F20" s="79">
        <f t="shared" si="0"/>
        <v>0</v>
      </c>
    </row>
    <row r="21" spans="1:6" ht="91.5">
      <c r="A21" s="80" t="s">
        <v>69</v>
      </c>
      <c r="B21" s="78">
        <f>-LSUE!B21-SUSBO!B21+'TOTAL ULS SYSTEM'!B21+'TOTAL LSU SYSTEM'!B21+'TOTAL SU SYSTEM'!B21-'ULSBOS-UD'!B21-'LSUHSC S'!B21-'EA CONWAY'!B21-PENNINGTON!B21-'LSU LAW'!B21-'LSU HSC NO'!B21-LSUBOS!B21-'LSU AG'!B21-SUAG!B21-SULAW!B21-SUBOS!B21</f>
        <v>0</v>
      </c>
      <c r="C21" s="78">
        <f>-LSUE!C21-SUSBO!C21+'TOTAL ULS SYSTEM'!C21+'TOTAL LSU SYSTEM'!C21+'TOTAL SU SYSTEM'!C21-'ULSBOS-UD'!C21-'LSUHSC S'!C21-'EA CONWAY'!C21-PENNINGTON!C21-'LSU LAW'!C21-'LSU HSC NO'!C21-LSUBOS!C21-'LSU AG'!C21-SUAG!C21-SULAW!C21-SUBOS!C21</f>
        <v>0</v>
      </c>
      <c r="D21" s="78">
        <f>-LSUE!D21-SUSBO!D21+'TOTAL ULS SYSTEM'!D21+'TOTAL LSU SYSTEM'!D21+'TOTAL SU SYSTEM'!D21-'ULSBOS-UD'!D21-'LSUHSC S'!D21-'EA CONWAY'!D21-PENNINGTON!D21-'LSU LAW'!D21-'LSU HSC NO'!D21-LSUBOS!D21-'LSU AG'!D21-SUAG!D21-SULAW!D21-SUBOS!D21</f>
        <v>0</v>
      </c>
      <c r="E21" s="78">
        <f>-LSUE!E21-SUSBO!E21+'TOTAL ULS SYSTEM'!E21+'TOTAL LSU SYSTEM'!E21+'TOTAL SU SYSTEM'!E21-'ULSBOS-UD'!E21-'LSUHSC S'!E21-'EA CONWAY'!E21-PENNINGTON!E21-'LSU LAW'!E21-'LSU HSC NO'!E21-LSUBOS!E21-'LSU AG'!E21-SUAG!E21-SULAW!E21-SUBOS!E21</f>
        <v>0</v>
      </c>
      <c r="F21" s="79">
        <f t="shared" si="0"/>
        <v>0</v>
      </c>
    </row>
    <row r="22" spans="1:6" ht="91.5">
      <c r="A22" s="81" t="s">
        <v>70</v>
      </c>
      <c r="B22" s="78">
        <f>-LSUE!B22-SUSBO!B22+'TOTAL ULS SYSTEM'!B22+'TOTAL LSU SYSTEM'!B22+'TOTAL SU SYSTEM'!B22-'ULSBOS-UD'!B22-'LSUHSC S'!B22-'EA CONWAY'!B22-PENNINGTON!B22-'LSU LAW'!B22-'LSU HSC NO'!B22-LSUBOS!B22-'LSU AG'!B22-SUAG!B22-SULAW!B22-SUBOS!B22</f>
        <v>0</v>
      </c>
      <c r="C22" s="78">
        <f>-LSUE!C22-SUSBO!C22+'TOTAL ULS SYSTEM'!C22+'TOTAL LSU SYSTEM'!C22+'TOTAL SU SYSTEM'!C22-'ULSBOS-UD'!C22-'LSUHSC S'!C22-'EA CONWAY'!C22-PENNINGTON!C22-'LSU LAW'!C22-'LSU HSC NO'!C22-LSUBOS!C22-'LSU AG'!C22-SUAG!C22-SULAW!C22-SUBOS!C22</f>
        <v>0</v>
      </c>
      <c r="D22" s="78">
        <f>-LSUE!D22-SUSBO!D22+'TOTAL ULS SYSTEM'!D22+'TOTAL LSU SYSTEM'!D22+'TOTAL SU SYSTEM'!D22-'ULSBOS-UD'!D22-'LSUHSC S'!D22-'EA CONWAY'!D22-PENNINGTON!D22-'LSU LAW'!D22-'LSU HSC NO'!D22-LSUBOS!D22-'LSU AG'!D22-SUAG!D22-SULAW!D22-SUBOS!D22</f>
        <v>0</v>
      </c>
      <c r="E22" s="78">
        <f>-LSUE!E22-SUSBO!E22+'TOTAL ULS SYSTEM'!E22+'TOTAL LSU SYSTEM'!E22+'TOTAL SU SYSTEM'!E22-'ULSBOS-UD'!E22-'LSUHSC S'!E22-'EA CONWAY'!E22-PENNINGTON!E22-'LSU LAW'!E22-'LSU HSC NO'!E22-LSUBOS!E22-'LSU AG'!E22-SUAG!E22-SULAW!E22-SUBOS!E22</f>
        <v>0</v>
      </c>
      <c r="F22" s="79">
        <f t="shared" si="0"/>
        <v>0</v>
      </c>
    </row>
    <row r="23" spans="1:6" ht="91.5">
      <c r="A23" s="130" t="s">
        <v>71</v>
      </c>
      <c r="B23" s="78">
        <f>-LSUE!B23-SUSBO!B23+'TOTAL ULS SYSTEM'!B23+'TOTAL LSU SYSTEM'!B23+'TOTAL SU SYSTEM'!B23-'ULSBOS-UD'!B23-'LSUHSC S'!B23-'EA CONWAY'!B23-PENNINGTON!B23-'LSU LAW'!B23-'LSU HSC NO'!B23-LSUBOS!B23-'LSU AG'!B23-SUAG!B23-SULAW!B23-SUBOS!B23</f>
        <v>0</v>
      </c>
      <c r="C23" s="78">
        <f>-LSUE!C23-SUSBO!C23+'TOTAL ULS SYSTEM'!C23+'TOTAL LSU SYSTEM'!C23+'TOTAL SU SYSTEM'!C23-'ULSBOS-UD'!C23-'LSUHSC S'!C23-'EA CONWAY'!C23-PENNINGTON!C23-'LSU LAW'!C23-'LSU HSC NO'!C23-LSUBOS!C23-'LSU AG'!C23-SUAG!C23-SULAW!C23-SUBOS!C23</f>
        <v>0</v>
      </c>
      <c r="D23" s="78">
        <f>-LSUE!D23-SUSBO!D23+'TOTAL ULS SYSTEM'!D23+'TOTAL LSU SYSTEM'!D23+'TOTAL SU SYSTEM'!D23-'ULSBOS-UD'!D23-'LSUHSC S'!D23-'EA CONWAY'!D23-PENNINGTON!D23-'LSU LAW'!D23-'LSU HSC NO'!D23-LSUBOS!D23-'LSU AG'!D23-SUAG!D23-SULAW!D23-SUBOS!D23</f>
        <v>0</v>
      </c>
      <c r="E23" s="78">
        <f>-LSUE!E23-SUSBO!E23+'TOTAL ULS SYSTEM'!E23+'TOTAL LSU SYSTEM'!E23+'TOTAL SU SYSTEM'!E23-'ULSBOS-UD'!E23-'LSUHSC S'!E23-'EA CONWAY'!E23-PENNINGTON!E23-'LSU LAW'!E23-'LSU HSC NO'!E23-LSUBOS!E23-'LSU AG'!E23-SUAG!E23-SULAW!E23-SUBOS!E23</f>
        <v>0</v>
      </c>
      <c r="F23" s="79">
        <f t="shared" si="0"/>
        <v>0</v>
      </c>
    </row>
    <row r="24" spans="1:6" ht="91.5">
      <c r="A24" s="130" t="s">
        <v>195</v>
      </c>
      <c r="B24" s="78">
        <f>-LSUE!B24-SUSBO!B24+'TOTAL ULS SYSTEM'!B24+'TOTAL LSU SYSTEM'!B24+'TOTAL SU SYSTEM'!B24-'ULSBOS-UD'!B24-'LSUHSC S'!B24-'EA CONWAY'!B24-PENNINGTON!B24-'LSU LAW'!B24-'LSU HSC NO'!B24-LSUBOS!B24-'LSU AG'!B24-SUAG!B24-SULAW!B24-SUBOS!B24</f>
        <v>0</v>
      </c>
      <c r="C24" s="78">
        <f>-LSUE!C24-SUSBO!C24+'TOTAL ULS SYSTEM'!C24+'TOTAL LSU SYSTEM'!C24+'TOTAL SU SYSTEM'!C24-'ULSBOS-UD'!C24-'LSUHSC S'!C24-'EA CONWAY'!C24-PENNINGTON!C24-'LSU LAW'!C24-'LSU HSC NO'!C24-LSUBOS!C24-'LSU AG'!C24-SUAG!C24-SULAW!C24-SUBOS!C24</f>
        <v>0</v>
      </c>
      <c r="D24" s="78">
        <f>-LSUE!D24-SUSBO!D24+'TOTAL ULS SYSTEM'!D24+'TOTAL LSU SYSTEM'!D24+'TOTAL SU SYSTEM'!D24-'ULSBOS-UD'!D24-'LSUHSC S'!D24-'EA CONWAY'!D24-PENNINGTON!D24-'LSU LAW'!D24-'LSU HSC NO'!D24-LSUBOS!D24-'LSU AG'!D24-SUAG!D24-SULAW!D24-SUBOS!D24</f>
        <v>0</v>
      </c>
      <c r="E24" s="78">
        <f>-LSUE!E24-SUSBO!E24+'TOTAL ULS SYSTEM'!E24+'TOTAL LSU SYSTEM'!E24+'TOTAL SU SYSTEM'!E24-'ULSBOS-UD'!E24-'LSUHSC S'!E24-'EA CONWAY'!E24-PENNINGTON!E24-'LSU LAW'!E24-'LSU HSC NO'!E24-LSUBOS!E24-'LSU AG'!E24-SUAG!E24-SULAW!E24-SUBOS!E24</f>
        <v>0</v>
      </c>
      <c r="F24" s="144">
        <f t="shared" si="0"/>
        <v>0</v>
      </c>
    </row>
    <row r="25" spans="1:6" ht="90">
      <c r="A25" s="82" t="s">
        <v>50</v>
      </c>
      <c r="B25" s="120">
        <f>B26</f>
        <v>0</v>
      </c>
      <c r="C25" s="120">
        <f>C26</f>
        <v>0</v>
      </c>
      <c r="D25" s="120">
        <f>D26</f>
        <v>0</v>
      </c>
      <c r="E25" s="120">
        <f>E26</f>
        <v>0</v>
      </c>
      <c r="F25" s="136">
        <f t="shared" si="0"/>
        <v>0</v>
      </c>
    </row>
    <row r="26" spans="1:6" ht="91.5">
      <c r="A26" s="77" t="s">
        <v>53</v>
      </c>
      <c r="B26" s="78">
        <v>0</v>
      </c>
      <c r="C26" s="78">
        <v>0</v>
      </c>
      <c r="D26" s="78">
        <v>0</v>
      </c>
      <c r="E26" s="78">
        <v>0</v>
      </c>
      <c r="F26" s="79">
        <f t="shared" si="0"/>
        <v>0</v>
      </c>
    </row>
    <row r="27" spans="1:6" ht="90">
      <c r="A27" s="76" t="s">
        <v>52</v>
      </c>
      <c r="B27" s="83">
        <f>B28</f>
        <v>0</v>
      </c>
      <c r="C27" s="83">
        <f>C28</f>
        <v>0</v>
      </c>
      <c r="D27" s="83">
        <f>D28</f>
        <v>0</v>
      </c>
      <c r="E27" s="83">
        <f>E28</f>
        <v>0</v>
      </c>
      <c r="F27" s="75">
        <f t="shared" si="0"/>
        <v>0</v>
      </c>
    </row>
    <row r="28" spans="1:6" ht="91.5">
      <c r="A28" s="77" t="s">
        <v>53</v>
      </c>
      <c r="B28" s="78">
        <f>LUMCON!B26+BOR!B28+'TOTAL ULS SYSTEM'!B27+'TOTAL LSU SYSTEM'!B28+'TOTAL SU SYSTEM'!B28+'TOTAL LCTCS'!B27</f>
        <v>0</v>
      </c>
      <c r="C28" s="78">
        <f>LUMCON!C26+BOR!C28+'TOTAL ULS SYSTEM'!C27+'TOTAL LSU SYSTEM'!C28+'TOTAL SU SYSTEM'!C28+'TOTAL LCTCS'!C27</f>
        <v>0</v>
      </c>
      <c r="D28" s="78">
        <f>LUMCON!D26+BOR!D28+'TOTAL ULS SYSTEM'!D27+'TOTAL LSU SYSTEM'!D28+'TOTAL SU SYSTEM'!D28+'TOTAL LCTCS'!D27</f>
        <v>0</v>
      </c>
      <c r="E28" s="78">
        <f>LUMCON!E26+BOR!E28+'TOTAL ULS SYSTEM'!E27+'TOTAL LSU SYSTEM'!E28+'TOTAL SU SYSTEM'!E28+'TOTAL LCTCS'!E27</f>
        <v>0</v>
      </c>
      <c r="F28" s="79">
        <f t="shared" si="0"/>
        <v>0</v>
      </c>
    </row>
    <row r="29" spans="1:6" ht="91.5">
      <c r="A29" s="80" t="s">
        <v>54</v>
      </c>
      <c r="B29" s="78">
        <f>-LSUE!B29-SUSBO!B29+'TOTAL ULS SYSTEM'!B29+'TOTAL LSU SYSTEM'!B29+'TOTAL SU SYSTEM'!B29-'ULSBOS-UD'!B29-'LSUHSC S'!B29-'EA CONWAY'!B29-PENNINGTON!B29-'LSU LAW'!B29-'LSU HSC NO'!B29-LSUBOS!B29-'LSU AG'!B29-SUAG!B29-SULAW!B29-SUBOS!B29</f>
        <v>351668686</v>
      </c>
      <c r="C29" s="78">
        <f>-LSUE!C29-SUSBO!C29+'TOTAL ULS SYSTEM'!C29+'TOTAL LSU SYSTEM'!C29+'TOTAL SU SYSTEM'!C29-'ULSBOS-UD'!C29-'LSUHSC S'!C29-'EA CONWAY'!C29-PENNINGTON!C29-'LSU LAW'!C29-'LSU HSC NO'!C29-LSUBOS!C29-'LSU AG'!C29-SUAG!C29-SULAW!C29-SUBOS!C29</f>
        <v>351938425</v>
      </c>
      <c r="D29" s="78">
        <f>-LSUE!D29-SUSBO!D29+'TOTAL ULS SYSTEM'!D29+'TOTAL LSU SYSTEM'!D29+'TOTAL SU SYSTEM'!D29-'ULSBOS-UD'!D29-'LSUHSC S'!D29-'EA CONWAY'!D29-PENNINGTON!D29-'LSU LAW'!D29-'LSU HSC NO'!D29-LSUBOS!D29-'LSU AG'!D29-SUAG!D29-SULAW!D29-SUBOS!D29</f>
        <v>438738149</v>
      </c>
      <c r="E29" s="78">
        <f>-LSUE!E29-SUSBO!E29+'TOTAL ULS SYSTEM'!E29+'TOTAL LSU SYSTEM'!E29+'TOTAL SU SYSTEM'!E29-'ULSBOS-UD'!E29-'LSUHSC S'!E29-'EA CONWAY'!E29-PENNINGTON!E29-'LSU LAW'!E29-'LSU HSC NO'!E29-LSUBOS!E29-'LSU AG'!E29-SUAG!E29-SULAW!E29-SUBOS!E29</f>
        <v>86799724</v>
      </c>
      <c r="F29" s="79">
        <f t="shared" si="0"/>
        <v>0.2466332683053861</v>
      </c>
    </row>
    <row r="30" spans="1:6" ht="90">
      <c r="A30" s="76" t="s">
        <v>14</v>
      </c>
      <c r="B30" s="74">
        <f>B29+B28+B9+B8</f>
        <v>1065992180</v>
      </c>
      <c r="C30" s="74">
        <f>C29+C28+C9+C8</f>
        <v>1066261919</v>
      </c>
      <c r="D30" s="74">
        <f>D29+D28+D9+D8</f>
        <v>1295008940</v>
      </c>
      <c r="E30" s="74">
        <f>E29+E28+E9+E8</f>
        <v>228747021</v>
      </c>
      <c r="F30" s="75">
        <f t="shared" si="0"/>
        <v>0.21453173645602175</v>
      </c>
    </row>
    <row r="31" spans="1:6" ht="90">
      <c r="A31" s="76"/>
      <c r="B31" s="86"/>
      <c r="C31" s="86"/>
      <c r="D31" s="86"/>
      <c r="E31" s="86"/>
      <c r="F31" s="87"/>
    </row>
    <row r="32" spans="1:6" ht="90">
      <c r="A32" s="131" t="s">
        <v>78</v>
      </c>
      <c r="B32" s="74">
        <f>-LSUE!B32-SUSBO!B32+'TOTAL ULS SYSTEM'!B31+'TOTAL LSU SYSTEM'!B32+'TOTAL SU SYSTEM'!B32-'ULSBOS-UD'!B31-'LSUHSC S'!B32-'EA CONWAY'!B32-PENNINGTON!B32-'LSU LAW'!B32-'LSU HSC NO'!B32-LSUBOS!B32-'LSU AG'!B32-SUAG!B32-SULAW!B32-SUBOS!B32</f>
        <v>-846785</v>
      </c>
      <c r="C32" s="74">
        <f>-LSUE!C32-SUSBO!C32+'TOTAL ULS SYSTEM'!C31+'TOTAL LSU SYSTEM'!C32+'TOTAL SU SYSTEM'!C32-'ULSBOS-UD'!C31-'LSUHSC S'!C32-'EA CONWAY'!C32-PENNINGTON!C32-'LSU LAW'!C32-'LSU HSC NO'!C32-LSUBOS!C32-'LSU AG'!C32-SUAG!C32-SULAW!C32-SUBOS!C32</f>
        <v>0</v>
      </c>
      <c r="D32" s="74">
        <f>-LSUE!D32-SUSBO!D32+'TOTAL ULS SYSTEM'!D31+'TOTAL LSU SYSTEM'!D32+'TOTAL SU SYSTEM'!D32-'ULSBOS-UD'!D31-'LSUHSC S'!D32-'EA CONWAY'!D32-PENNINGTON!D32-'LSU LAW'!D32-'LSU HSC NO'!D32-LSUBOS!D32-'LSU AG'!D32-SUAG!D32-SULAW!D32-SUBOS!D32</f>
        <v>0</v>
      </c>
      <c r="E32" s="74">
        <f>-LSUE!E32-SUSBO!E32+'TOTAL ULS SYSTEM'!E31+'TOTAL LSU SYSTEM'!E32+'TOTAL SU SYSTEM'!E32-'ULSBOS-UD'!E31-'LSUHSC S'!E32-'EA CONWAY'!E32-PENNINGTON!E32-'LSU LAW'!E32-'LSU HSC NO'!E32-LSUBOS!E32-'LSU AG'!E32-SUAG!E32-SULAW!E32-SUBOS!E32</f>
        <v>0</v>
      </c>
      <c r="F32" s="132">
        <f>IF(ISERROR(E32/C32),0,(E32/C32))</f>
        <v>0</v>
      </c>
    </row>
    <row r="33" spans="1:6" ht="90">
      <c r="A33" s="82" t="s">
        <v>0</v>
      </c>
      <c r="B33" s="159"/>
      <c r="C33" s="159"/>
      <c r="D33" s="159"/>
      <c r="E33" s="159"/>
      <c r="F33" s="160"/>
    </row>
    <row r="34" spans="1:6" ht="90">
      <c r="A34" s="131" t="s">
        <v>15</v>
      </c>
      <c r="B34" s="74">
        <f>-LSUE!B34-SUSBO!B34+'TOTAL ULS SYSTEM'!B33+'TOTAL LSU SYSTEM'!B34+'TOTAL SU SYSTEM'!B34-'ULSBOS-UD'!B33-'LSUHSC S'!B34-'EA CONWAY'!B34-PENNINGTON!B34-'LSU LAW'!B34-'LSU HSC NO'!B34-LSUBOS!B34-'LSU AG'!B34-SUAG!B34-SULAW!B34-SUBOS!B34</f>
        <v>12280178</v>
      </c>
      <c r="C34" s="74">
        <f>-LSUE!C34-SUSBO!C34+'TOTAL ULS SYSTEM'!C33+'TOTAL LSU SYSTEM'!C34+'TOTAL SU SYSTEM'!C34-'ULSBOS-UD'!C33-'LSUHSC S'!C34-'EA CONWAY'!C34-PENNINGTON!C34-'LSU LAW'!C34-'LSU HSC NO'!C34-LSUBOS!C34-'LSU AG'!C34-SUAG!C34-SULAW!C34-SUBOS!C34</f>
        <v>12662374</v>
      </c>
      <c r="D34" s="74">
        <f>-LSUE!D34-SUSBO!D34+'TOTAL ULS SYSTEM'!D33+'TOTAL LSU SYSTEM'!D34+'TOTAL SU SYSTEM'!D34-'ULSBOS-UD'!D33-'LSUHSC S'!D34-'EA CONWAY'!D34-PENNINGTON!D34-'LSU LAW'!D34-'LSU HSC NO'!D34-LSUBOS!D34-'LSU AG'!D34-SUAG!D34-SULAW!D34-SUBOS!D34</f>
        <v>13032185</v>
      </c>
      <c r="E34" s="74">
        <f>-LSUE!E34-SUSBO!E34+'TOTAL ULS SYSTEM'!E33+'TOTAL LSU SYSTEM'!E34+'TOTAL SU SYSTEM'!E34-'ULSBOS-UD'!E33-'LSUHSC S'!E34-'EA CONWAY'!E34-PENNINGTON!E34-'LSU LAW'!E34-'LSU HSC NO'!E34-LSUBOS!E34-'LSU AG'!E34-SUAG!E34-SULAW!E34-SUBOS!E34</f>
        <v>369811</v>
      </c>
      <c r="F34" s="136">
        <f>IF(ISERROR(E34/C34),0,(E34/C34))</f>
        <v>0.029205502854362065</v>
      </c>
    </row>
    <row r="35" spans="1:6" ht="90">
      <c r="A35" s="133" t="s">
        <v>0</v>
      </c>
      <c r="B35" s="134"/>
      <c r="C35" s="134"/>
      <c r="D35" s="134"/>
      <c r="E35" s="134"/>
      <c r="F35" s="135"/>
    </row>
    <row r="36" spans="1:6" ht="90">
      <c r="A36" s="131" t="s">
        <v>56</v>
      </c>
      <c r="B36" s="74">
        <f>-LSUE!B36-SUSBO!B36+'TOTAL ULS SYSTEM'!B35+'TOTAL LSU SYSTEM'!B36+'TOTAL SU SYSTEM'!B36-'ULSBOS-UD'!B35-'LSUHSC S'!B36-'EA CONWAY'!B36-PENNINGTON!B36-'LSU LAW'!B36-'LSU HSC NO'!B36-LSUBOS!B36-'LSU AG'!B36-SUAG!B36-SULAW!B36-SUBOS!B36</f>
        <v>531251153.4200001</v>
      </c>
      <c r="C36" s="74">
        <f>-LSUE!C36-SUSBO!C36+'TOTAL ULS SYSTEM'!C35+'TOTAL LSU SYSTEM'!C36+'TOTAL SU SYSTEM'!C36-'ULSBOS-UD'!C35-'LSUHSC S'!C36-'EA CONWAY'!C36-PENNINGTON!C36-'LSU LAW'!C36-'LSU HSC NO'!C36-LSUBOS!C36-'LSU AG'!C36-SUAG!C36-SULAW!C36-SUBOS!C36</f>
        <v>578421036</v>
      </c>
      <c r="D36" s="74">
        <f>-LSUE!D36-SUSBO!D36+'TOTAL ULS SYSTEM'!D35+'TOTAL LSU SYSTEM'!D36+'TOTAL SU SYSTEM'!D36-'ULSBOS-UD'!D35-'LSUHSC S'!D36-'EA CONWAY'!D36-PENNINGTON!D36-'LSU LAW'!D36-'LSU HSC NO'!D36-LSUBOS!D36-'LSU AG'!D36-SUAG!D36-SULAW!D36-SUBOS!D36</f>
        <v>565359958</v>
      </c>
      <c r="E36" s="74">
        <f>-LSUE!E36-SUSBO!E36+'TOTAL ULS SYSTEM'!E35+'TOTAL LSU SYSTEM'!E36+'TOTAL SU SYSTEM'!E36-'ULSBOS-UD'!E35-'LSUHSC S'!E36-'EA CONWAY'!E36-PENNINGTON!E36-'LSU LAW'!E36-'LSU HSC NO'!E36-LSUBOS!E36-'LSU AG'!E36-SUAG!E36-SULAW!E36-SUBOS!E36</f>
        <v>-13061078</v>
      </c>
      <c r="F36" s="136">
        <f>IF(ISERROR(E36/C36),0,(E36/C36))</f>
        <v>-0.02258057225982355</v>
      </c>
    </row>
    <row r="37" spans="1:6" ht="90">
      <c r="A37" s="133" t="s">
        <v>0</v>
      </c>
      <c r="B37" s="134"/>
      <c r="C37" s="134"/>
      <c r="D37" s="134"/>
      <c r="E37" s="134"/>
      <c r="F37" s="135"/>
    </row>
    <row r="38" spans="1:6" ht="91.5">
      <c r="A38" s="131" t="s">
        <v>16</v>
      </c>
      <c r="B38" s="78">
        <f>-LSUE!B38-SUSBO!B38+'TOTAL ULS SYSTEM'!B37+'TOTAL LSU SYSTEM'!B38+'TOTAL SU SYSTEM'!B38-'ULSBOS-UD'!B37-'LSUHSC S'!B38-'EA CONWAY'!B38-PENNINGTON!B38-'LSU LAW'!B38-'LSU HSC NO'!B38-LSUBOS!B38-'LSU AG'!B38-SUAG!B38-SULAW!B38-SUBOS!B38</f>
        <v>0</v>
      </c>
      <c r="C38" s="78">
        <f>-LSUE!C38-SUSBO!C38+'TOTAL ULS SYSTEM'!C37+'TOTAL LSU SYSTEM'!C38+'TOTAL SU SYSTEM'!C38-'ULSBOS-UD'!C37-'LSUHSC S'!C38-'EA CONWAY'!C38-PENNINGTON!C38-'LSU LAW'!C38-'LSU HSC NO'!C38-LSUBOS!C38-'LSU AG'!C38-SUAG!C38-SULAW!C38-SUBOS!C38</f>
        <v>0</v>
      </c>
      <c r="D38" s="78">
        <f>-LSUE!D38-SUSBO!D38+'TOTAL ULS SYSTEM'!D37+'TOTAL LSU SYSTEM'!D38+'TOTAL SU SYSTEM'!D38-'ULSBOS-UD'!D37-'LSUHSC S'!D38-'EA CONWAY'!D38-PENNINGTON!D38-'LSU LAW'!D38-'LSU HSC NO'!D38-LSUBOS!D38-'LSU AG'!D38-SUAG!D38-SULAW!D38-SUBOS!D38</f>
        <v>0</v>
      </c>
      <c r="E38" s="78">
        <f>-LSUE!E38-SUSBO!E38+'TOTAL ULS SYSTEM'!E37+'TOTAL LSU SYSTEM'!E38+'TOTAL SU SYSTEM'!E38-'ULSBOS-UD'!E37-'LSUHSC S'!E38-'EA CONWAY'!E38-PENNINGTON!E38-'LSU LAW'!E38-'LSU HSC NO'!E38-LSUBOS!E38-'LSU AG'!E38-SUAG!E38-SULAW!E38-SUBOS!E38</f>
        <v>0</v>
      </c>
      <c r="F38" s="136">
        <f>IF(ISERROR(E38/C38),0,(E38/C38))</f>
        <v>0</v>
      </c>
    </row>
    <row r="39" spans="1:6" ht="90">
      <c r="A39" s="133"/>
      <c r="B39" s="134"/>
      <c r="C39" s="134"/>
      <c r="D39" s="134"/>
      <c r="E39" s="134"/>
      <c r="F39" s="135"/>
    </row>
    <row r="40" spans="1:6" ht="90">
      <c r="A40" s="131" t="s">
        <v>17</v>
      </c>
      <c r="B40" s="74">
        <f>-LSUE!B40-SUSBO!B40+'TOTAL ULS SYSTEM'!B39+'TOTAL LSU SYSTEM'!B40+'TOTAL SU SYSTEM'!B40-'ULSBOS-UD'!B39-'LSUHSC S'!B40-'EA CONWAY'!B40-PENNINGTON!B40-'LSU LAW'!B40-'LSU HSC NO'!B40-LSUBOS!B40-'LSU AG'!B40-SUAG!B40-SULAW!B40-SUBOS!B40</f>
        <v>1258138301.42</v>
      </c>
      <c r="C40" s="74">
        <f>-LSUE!C40-SUSBO!C40+'TOTAL ULS SYSTEM'!C39+'TOTAL LSU SYSTEM'!C40+'TOTAL SU SYSTEM'!C40-'ULSBOS-UD'!C39-'LSUHSC S'!C40-'EA CONWAY'!C40-PENNINGTON!C40-'LSU LAW'!C40-'LSU HSC NO'!C40-LSUBOS!C40-'LSU AG'!C40-SUAG!C40-SULAW!C40-SUBOS!C40</f>
        <v>1306806904</v>
      </c>
      <c r="D40" s="74">
        <f>-LSUE!D40-SUSBO!D40+'TOTAL ULS SYSTEM'!D39+'TOTAL LSU SYSTEM'!D40+'TOTAL SU SYSTEM'!D40-'ULSBOS-UD'!D39-'LSUHSC S'!D40-'EA CONWAY'!D40-PENNINGTON!D40-'LSU LAW'!D40-'LSU HSC NO'!D40-LSUBOS!D40-'LSU AG'!D40-SUAG!D40-SULAW!D40-SUBOS!D40</f>
        <v>1434662934</v>
      </c>
      <c r="E40" s="74">
        <f>-LSUE!E40-SUSBO!E40+'TOTAL ULS SYSTEM'!E39+'TOTAL LSU SYSTEM'!E40+'TOTAL SU SYSTEM'!E40-'ULSBOS-UD'!E39-'LSUHSC S'!E40-'EA CONWAY'!E40-PENNINGTON!E40-'LSU LAW'!E40-'LSU HSC NO'!E40-LSUBOS!E40-'LSU AG'!E40-SUAG!E40-SULAW!E40-SUBOS!E40</f>
        <v>127856030</v>
      </c>
      <c r="F40" s="136">
        <f>IF(ISERROR(E40/C40),0,(E40/C40))</f>
        <v>0.09783850208370187</v>
      </c>
    </row>
    <row r="41" spans="1:6" ht="90">
      <c r="A41" s="146" t="s">
        <v>18</v>
      </c>
      <c r="B41" s="134"/>
      <c r="C41" s="134"/>
      <c r="D41" s="134"/>
      <c r="E41" s="134"/>
      <c r="F41" s="147"/>
    </row>
    <row r="42" spans="1:6" ht="91.5">
      <c r="A42" s="137" t="s">
        <v>19</v>
      </c>
      <c r="B42" s="78">
        <f>-LSUE!B42-SUSBO!B42+'TOTAL ULS SYSTEM'!B41+'TOTAL LSU SYSTEM'!B42+'TOTAL SU SYSTEM'!B42-'ULSBOS-UD'!B41-'LSUHSC S'!B42-'EA CONWAY'!B42-PENNINGTON!B42-'LSU LAW'!B42-'LSU HSC NO'!B42-LSUBOS!B42-'LSU AG'!B42-SUAG!B42-SULAW!B42-SUBOS!B42</f>
        <v>539618484.69</v>
      </c>
      <c r="C42" s="78">
        <f>-LSUE!C42-SUSBO!C42+'TOTAL ULS SYSTEM'!C41+'TOTAL LSU SYSTEM'!C42+'TOTAL SU SYSTEM'!C42-'ULSBOS-UD'!C41-'LSUHSC S'!C42-'EA CONWAY'!C42-PENNINGTON!C42-'LSU LAW'!C42-'LSU HSC NO'!C42-LSUBOS!C42-'LSU AG'!C42-SUAG!C42-SULAW!C42-SUBOS!C42</f>
        <v>589225963.2656</v>
      </c>
      <c r="D42" s="78">
        <f>-LSUE!D42-SUSBO!D42+'TOTAL ULS SYSTEM'!D41+'TOTAL LSU SYSTEM'!D42+'TOTAL SU SYSTEM'!D42-'ULSBOS-UD'!D41-'LSUHSC S'!D42-'EA CONWAY'!D42-PENNINGTON!D42-'LSU LAW'!D42-'LSU HSC NO'!D42-LSUBOS!D42-'LSU AG'!D42-SUAG!D42-SULAW!D42-SUBOS!D42</f>
        <v>649407069.914</v>
      </c>
      <c r="E42" s="78">
        <f>-LSUE!E42-SUSBO!E42+'TOTAL ULS SYSTEM'!E41+'TOTAL LSU SYSTEM'!E42+'TOTAL SU SYSTEM'!E42-'ULSBOS-UD'!E41-'LSUHSC S'!E42-'EA CONWAY'!E42-PENNINGTON!E42-'LSU LAW'!E42-'LSU HSC NO'!E42-LSUBOS!E42-'LSU AG'!E42-SUAG!E42-SULAW!E42-SUBOS!E42</f>
        <v>60181106.64840001</v>
      </c>
      <c r="F42" s="139">
        <f>IF(ISERROR(E42/C42),0,(E42/C42))</f>
        <v>0.1021358704475022</v>
      </c>
    </row>
    <row r="43" spans="1:6" ht="91.5">
      <c r="A43" s="77" t="s">
        <v>20</v>
      </c>
      <c r="B43" s="78">
        <f>-LSUE!B43-SUSBO!B43+'TOTAL ULS SYSTEM'!B42+'TOTAL LSU SYSTEM'!B43+'TOTAL SU SYSTEM'!B43-'ULSBOS-UD'!B42-'LSUHSC S'!B43-'EA CONWAY'!B43-PENNINGTON!B43-'LSU LAW'!B43-'LSU HSC NO'!B43-LSUBOS!B43-'LSU AG'!B43-SUAG!B43-SULAW!B43-SUBOS!B43</f>
        <v>89029713.09</v>
      </c>
      <c r="C43" s="78">
        <f>-LSUE!C43-SUSBO!C43+'TOTAL ULS SYSTEM'!C42+'TOTAL LSU SYSTEM'!C43+'TOTAL SU SYSTEM'!C43-'ULSBOS-UD'!C42-'LSUHSC S'!C43-'EA CONWAY'!C43-PENNINGTON!C43-'LSU LAW'!C43-'LSU HSC NO'!C43-LSUBOS!C43-'LSU AG'!C43-SUAG!C43-SULAW!C43-SUBOS!C43</f>
        <v>86297474</v>
      </c>
      <c r="D43" s="78">
        <f>-LSUE!D43-SUSBO!D43+'TOTAL ULS SYSTEM'!D42+'TOTAL LSU SYSTEM'!D43+'TOTAL SU SYSTEM'!D43-'ULSBOS-UD'!D42-'LSUHSC S'!D43-'EA CONWAY'!D43-PENNINGTON!D43-'LSU LAW'!D43-'LSU HSC NO'!D43-LSUBOS!D43-'LSU AG'!D43-SUAG!D43-SULAW!D43-SUBOS!D43</f>
        <v>93738424</v>
      </c>
      <c r="E43" s="78">
        <f>-LSUE!E43-SUSBO!E43+'TOTAL ULS SYSTEM'!E42+'TOTAL LSU SYSTEM'!E43+'TOTAL SU SYSTEM'!E43-'ULSBOS-UD'!E42-'LSUHSC S'!E43-'EA CONWAY'!E43-PENNINGTON!E43-'LSU LAW'!E43-'LSU HSC NO'!E43-LSUBOS!E43-'LSU AG'!E43-SUAG!E43-SULAW!E43-SUBOS!E43</f>
        <v>7440950</v>
      </c>
      <c r="F43" s="92">
        <f aca="true" t="shared" si="1" ref="F43:F55">IF(ISERROR(E43/C43),0,(E43/C43))</f>
        <v>0.08622442413551988</v>
      </c>
    </row>
    <row r="44" spans="1:6" ht="91.5">
      <c r="A44" s="80" t="s">
        <v>21</v>
      </c>
      <c r="B44" s="78">
        <f>-LSUE!B44-SUSBO!B44+'TOTAL ULS SYSTEM'!B43+'TOTAL LSU SYSTEM'!B44+'TOTAL SU SYSTEM'!B44-'ULSBOS-UD'!B43-'LSUHSC S'!B44-'EA CONWAY'!B44-PENNINGTON!B44-'LSU LAW'!B44-'LSU HSC NO'!B44-LSUBOS!B44-'LSU AG'!B44-SUAG!B44-SULAW!B44-SUBOS!B44</f>
        <v>14318400</v>
      </c>
      <c r="C44" s="78">
        <f>-LSUE!C44-SUSBO!C44+'TOTAL ULS SYSTEM'!C43+'TOTAL LSU SYSTEM'!C44+'TOTAL SU SYSTEM'!C44-'ULSBOS-UD'!C43-'LSUHSC S'!C44-'EA CONWAY'!C44-PENNINGTON!C44-'LSU LAW'!C44-'LSU HSC NO'!C44-LSUBOS!C44-'LSU AG'!C44-SUAG!C44-SULAW!C44-SUBOS!C44</f>
        <v>15485741</v>
      </c>
      <c r="D44" s="78">
        <f>-LSUE!D44-SUSBO!D44+'TOTAL ULS SYSTEM'!D43+'TOTAL LSU SYSTEM'!D44+'TOTAL SU SYSTEM'!D44-'ULSBOS-UD'!D43-'LSUHSC S'!D44-'EA CONWAY'!D44-PENNINGTON!D44-'LSU LAW'!D44-'LSU HSC NO'!D44-LSUBOS!D44-'LSU AG'!D44-SUAG!D44-SULAW!D44-SUBOS!D44</f>
        <v>17594377.42</v>
      </c>
      <c r="E44" s="78">
        <f>-LSUE!E44-SUSBO!E44+'TOTAL ULS SYSTEM'!E43+'TOTAL LSU SYSTEM'!E44+'TOTAL SU SYSTEM'!E44-'ULSBOS-UD'!E43-'LSUHSC S'!E44-'EA CONWAY'!E44-PENNINGTON!E44-'LSU LAW'!E44-'LSU HSC NO'!E44-LSUBOS!E44-'LSU AG'!E44-SUAG!E44-SULAW!E44-SUBOS!E44</f>
        <v>2108636.42</v>
      </c>
      <c r="F44" s="90">
        <f t="shared" si="1"/>
        <v>0.1361663235876152</v>
      </c>
    </row>
    <row r="45" spans="1:6" ht="91.5">
      <c r="A45" s="80" t="s">
        <v>49</v>
      </c>
      <c r="B45" s="78">
        <f>-LSUE!B45-SUSBO!B45+'TOTAL ULS SYSTEM'!B44+'TOTAL LSU SYSTEM'!B45+'TOTAL SU SYSTEM'!B45-'ULSBOS-UD'!B44-'LSUHSC S'!B45-'EA CONWAY'!B45-PENNINGTON!B45-'LSU LAW'!B45-'LSU HSC NO'!B45-LSUBOS!B45-'LSU AG'!B45-SUAG!B45-SULAW!B45-SUBOS!B45</f>
        <v>137939376.56</v>
      </c>
      <c r="C45" s="78">
        <f>-LSUE!C45-SUSBO!C45+'TOTAL ULS SYSTEM'!C44+'TOTAL LSU SYSTEM'!C45+'TOTAL SU SYSTEM'!C45-'ULSBOS-UD'!C44-'LSUHSC S'!C45-'EA CONWAY'!C45-PENNINGTON!C45-'LSU LAW'!C45-'LSU HSC NO'!C45-LSUBOS!C45-'LSU AG'!C45-SUAG!C45-SULAW!C45-SUBOS!C45</f>
        <v>142807570.8288</v>
      </c>
      <c r="D45" s="78">
        <f>-LSUE!D45-SUSBO!D45+'TOTAL ULS SYSTEM'!D44+'TOTAL LSU SYSTEM'!D45+'TOTAL SU SYSTEM'!D45-'ULSBOS-UD'!D44-'LSUHSC S'!D45-'EA CONWAY'!D45-PENNINGTON!D45-'LSU LAW'!D45-'LSU HSC NO'!D45-LSUBOS!D45-'LSU AG'!D45-SUAG!D45-SULAW!D45-SUBOS!D45</f>
        <v>157090547.50230768</v>
      </c>
      <c r="E45" s="78">
        <f>-LSUE!E45-SUSBO!E45+'TOTAL ULS SYSTEM'!E44+'TOTAL LSU SYSTEM'!E45+'TOTAL SU SYSTEM'!E45-'ULSBOS-UD'!E44-'LSUHSC S'!E45-'EA CONWAY'!E45-PENNINGTON!E45-'LSU LAW'!E45-'LSU HSC NO'!E45-LSUBOS!E45-'LSU AG'!E45-SUAG!E45-SULAW!E45-SUBOS!E45</f>
        <v>14282976.673507683</v>
      </c>
      <c r="F45" s="90">
        <f t="shared" si="1"/>
        <v>0.10001554252771616</v>
      </c>
    </row>
    <row r="46" spans="1:6" ht="91.5">
      <c r="A46" s="80" t="s">
        <v>22</v>
      </c>
      <c r="B46" s="78">
        <f>-LSUE!B46-SUSBO!B46+'TOTAL ULS SYSTEM'!B45+'TOTAL LSU SYSTEM'!B46+'TOTAL SU SYSTEM'!B46-'ULSBOS-UD'!B45-'LSUHSC S'!B46-'EA CONWAY'!B46-PENNINGTON!B46-'LSU LAW'!B46-'LSU HSC NO'!B46-LSUBOS!B46-'LSU AG'!B46-SUAG!B46-SULAW!B46-SUBOS!B46</f>
        <v>55195662.96</v>
      </c>
      <c r="C46" s="78">
        <f>-LSUE!C46-SUSBO!C46+'TOTAL ULS SYSTEM'!C45+'TOTAL LSU SYSTEM'!C46+'TOTAL SU SYSTEM'!C46-'ULSBOS-UD'!C45-'LSUHSC S'!C46-'EA CONWAY'!C46-PENNINGTON!C46-'LSU LAW'!C46-'LSU HSC NO'!C46-LSUBOS!C46-'LSU AG'!C46-SUAG!C46-SULAW!C46-SUBOS!C46</f>
        <v>58089031.816</v>
      </c>
      <c r="D46" s="78">
        <f>-LSUE!D46-SUSBO!D46+'TOTAL ULS SYSTEM'!D45+'TOTAL LSU SYSTEM'!D46+'TOTAL SU SYSTEM'!D46-'ULSBOS-UD'!D45-'LSUHSC S'!D46-'EA CONWAY'!D46-PENNINGTON!D46-'LSU LAW'!D46-'LSU HSC NO'!D46-LSUBOS!D46-'LSU AG'!D46-SUAG!D46-SULAW!D46-SUBOS!D46</f>
        <v>63715399.66</v>
      </c>
      <c r="E46" s="78">
        <f>-LSUE!E46-SUSBO!E46+'TOTAL ULS SYSTEM'!E45+'TOTAL LSU SYSTEM'!E46+'TOTAL SU SYSTEM'!E46-'ULSBOS-UD'!E45-'LSUHSC S'!E46-'EA CONWAY'!E46-PENNINGTON!E46-'LSU LAW'!E46-'LSU HSC NO'!E46-LSUBOS!E46-'LSU AG'!E46-SUAG!E46-SULAW!E46-SUBOS!E46</f>
        <v>5626367.843999997</v>
      </c>
      <c r="F46" s="90">
        <f t="shared" si="1"/>
        <v>0.0968576625932036</v>
      </c>
    </row>
    <row r="47" spans="1:6" ht="91.5">
      <c r="A47" s="80" t="s">
        <v>23</v>
      </c>
      <c r="B47" s="78">
        <f>-LSUE!B47-SUSBO!B47+'TOTAL ULS SYSTEM'!B46+'TOTAL LSU SYSTEM'!B47+'TOTAL SU SYSTEM'!B47-'ULSBOS-UD'!B46-'LSUHSC S'!B47-'EA CONWAY'!B47-PENNINGTON!B47-'LSU LAW'!B47-'LSU HSC NO'!B47-LSUBOS!B47-'LSU AG'!B47-SUAG!B47-SULAW!B47-SUBOS!B47</f>
        <v>150174433.95</v>
      </c>
      <c r="C47" s="78">
        <f>-LSUE!C47-SUSBO!C47+'TOTAL ULS SYSTEM'!C46+'TOTAL LSU SYSTEM'!C47+'TOTAL SU SYSTEM'!C47-'ULSBOS-UD'!C46-'LSUHSC S'!C47-'EA CONWAY'!C47-PENNINGTON!C47-'LSU LAW'!C47-'LSU HSC NO'!C47-LSUBOS!C47-'LSU AG'!C47-SUAG!C47-SULAW!C47-SUBOS!C47</f>
        <v>142876153.82520002</v>
      </c>
      <c r="D47" s="78">
        <f>-LSUE!D47-SUSBO!D47+'TOTAL ULS SYSTEM'!D46+'TOTAL LSU SYSTEM'!D47+'TOTAL SU SYSTEM'!D47-'ULSBOS-UD'!D46-'LSUHSC S'!D47-'EA CONWAY'!D47-PENNINGTON!D47-'LSU LAW'!D47-'LSU HSC NO'!D47-LSUBOS!D47-'LSU AG'!D47-SUAG!D47-SULAW!D47-SUBOS!D47</f>
        <v>162363468.28</v>
      </c>
      <c r="E47" s="78">
        <f>-LSUE!E47-SUSBO!E47+'TOTAL ULS SYSTEM'!E46+'TOTAL LSU SYSTEM'!E47+'TOTAL SU SYSTEM'!E47-'ULSBOS-UD'!E46-'LSUHSC S'!E47-'EA CONWAY'!E47-PENNINGTON!E47-'LSU LAW'!E47-'LSU HSC NO'!E47-LSUBOS!E47-'LSU AG'!E47-SUAG!E47-SULAW!E47-SUBOS!E47</f>
        <v>19487314.454799995</v>
      </c>
      <c r="F47" s="90">
        <f t="shared" si="1"/>
        <v>0.13639305043612454</v>
      </c>
    </row>
    <row r="48" spans="1:6" ht="91.5">
      <c r="A48" s="80" t="s">
        <v>24</v>
      </c>
      <c r="B48" s="78">
        <f>-LSUE!B48-SUSBO!B48+'TOTAL ULS SYSTEM'!B47+'TOTAL LSU SYSTEM'!B48+'TOTAL SU SYSTEM'!B48-'ULSBOS-UD'!B47-'LSUHSC S'!B48-'EA CONWAY'!B48-PENNINGTON!B48-'LSU LAW'!B48-'LSU HSC NO'!B48-LSUBOS!B48-'LSU AG'!B48-SUAG!B48-SULAW!B48-SUBOS!B48</f>
        <v>72773049.85</v>
      </c>
      <c r="C48" s="78">
        <f>-LSUE!C48-SUSBO!C48+'TOTAL ULS SYSTEM'!C47+'TOTAL LSU SYSTEM'!C48+'TOTAL SU SYSTEM'!C48-'ULSBOS-UD'!C47-'LSUHSC S'!C48-'EA CONWAY'!C48-PENNINGTON!C48-'LSU LAW'!C48-'LSU HSC NO'!C48-LSUBOS!C48-'LSU AG'!C48-SUAG!C48-SULAW!C48-SUBOS!C48</f>
        <v>80347951</v>
      </c>
      <c r="D48" s="78">
        <f>-LSUE!D48-SUSBO!D48+'TOTAL ULS SYSTEM'!D47+'TOTAL LSU SYSTEM'!D48+'TOTAL SU SYSTEM'!D48-'ULSBOS-UD'!D47-'LSUHSC S'!D48-'EA CONWAY'!D48-PENNINGTON!D48-'LSU LAW'!D48-'LSU HSC NO'!D48-LSUBOS!D48-'LSU AG'!D48-SUAG!D48-SULAW!D48-SUBOS!D48</f>
        <v>84748981</v>
      </c>
      <c r="E48" s="78">
        <f>-LSUE!E48-SUSBO!E48+'TOTAL ULS SYSTEM'!E47+'TOTAL LSU SYSTEM'!E48+'TOTAL SU SYSTEM'!E48-'ULSBOS-UD'!E47-'LSUHSC S'!E48-'EA CONWAY'!E48-PENNINGTON!E48-'LSU LAW'!E48-'LSU HSC NO'!E48-LSUBOS!E48-'LSU AG'!E48-SUAG!E48-SULAW!E48-SUBOS!E48</f>
        <v>4401030</v>
      </c>
      <c r="F48" s="90">
        <f t="shared" si="1"/>
        <v>0.05477463887038016</v>
      </c>
    </row>
    <row r="49" spans="1:6" ht="91.5">
      <c r="A49" s="80" t="s">
        <v>25</v>
      </c>
      <c r="B49" s="78">
        <f>-LSUE!B49-SUSBO!B49+'TOTAL ULS SYSTEM'!B48+'TOTAL LSU SYSTEM'!B49+'TOTAL SU SYSTEM'!B49-'ULSBOS-UD'!B48-'LSUHSC S'!B49-'EA CONWAY'!B49-PENNINGTON!B49-'LSU LAW'!B49-'LSU HSC NO'!B49-LSUBOS!B49-'LSU AG'!B49-SUAG!B49-SULAW!B49-SUBOS!B49</f>
        <v>156925077.25</v>
      </c>
      <c r="C49" s="78">
        <f>-LSUE!C49-SUSBO!C49+'TOTAL ULS SYSTEM'!C48+'TOTAL LSU SYSTEM'!C49+'TOTAL SU SYSTEM'!C49-'ULSBOS-UD'!C48-'LSUHSC S'!C49-'EA CONWAY'!C49-PENNINGTON!C49-'LSU LAW'!C49-'LSU HSC NO'!C49-LSUBOS!C49-'LSU AG'!C49-SUAG!C49-SULAW!C49-SUBOS!C49</f>
        <v>155570476.4244</v>
      </c>
      <c r="D49" s="78">
        <f>-LSUE!D49-SUSBO!D49+'TOTAL ULS SYSTEM'!D48+'TOTAL LSU SYSTEM'!D49+'TOTAL SU SYSTEM'!D49-'ULSBOS-UD'!D48-'LSUHSC S'!D49-'EA CONWAY'!D49-PENNINGTON!D49-'LSU LAW'!D49-'LSU HSC NO'!D49-LSUBOS!D49-'LSU AG'!D49-SUAG!D49-SULAW!D49-SUBOS!D49</f>
        <v>172148581.24</v>
      </c>
      <c r="E49" s="78">
        <f>-LSUE!E49-SUSBO!E49+'TOTAL ULS SYSTEM'!E48+'TOTAL LSU SYSTEM'!E49+'TOTAL SU SYSTEM'!E49-'ULSBOS-UD'!E48-'LSUHSC S'!E49-'EA CONWAY'!E49-PENNINGTON!E49-'LSU LAW'!E49-'LSU HSC NO'!E49-LSUBOS!E49-'LSU AG'!E49-SUAG!E49-SULAW!E49-SUBOS!E49</f>
        <v>16578104.815600008</v>
      </c>
      <c r="F49" s="90">
        <f t="shared" si="1"/>
        <v>0.10656330941852064</v>
      </c>
    </row>
    <row r="50" spans="1:6" ht="90">
      <c r="A50" s="76" t="s">
        <v>26</v>
      </c>
      <c r="B50" s="74">
        <f>SUM(B42:B49)</f>
        <v>1215974198.3500004</v>
      </c>
      <c r="C50" s="74">
        <f>SUM(C42:C49)</f>
        <v>1270700362.16</v>
      </c>
      <c r="D50" s="74">
        <f>SUM(D42:D49)</f>
        <v>1400806849.0163076</v>
      </c>
      <c r="E50" s="74">
        <f>SUM(E42:E49)</f>
        <v>130106486.85630769</v>
      </c>
      <c r="F50" s="87">
        <f t="shared" si="1"/>
        <v>0.10238958823868292</v>
      </c>
    </row>
    <row r="51" spans="1:6" ht="91.5">
      <c r="A51" s="140" t="s">
        <v>27</v>
      </c>
      <c r="B51" s="78">
        <f>-LSUE!B51-SUSBO!B51+'TOTAL ULS SYSTEM'!B50+'TOTAL LSU SYSTEM'!B51+'TOTAL SU SYSTEM'!B51-'ULSBOS-UD'!B50-'LSUHSC S'!B51-'EA CONWAY'!B51-PENNINGTON!B51-'LSU LAW'!B51-'LSU HSC NO'!B51-LSUBOS!B51-'LSU AG'!B51-SUAG!B51-SULAW!B51-SUBOS!B51</f>
        <v>0</v>
      </c>
      <c r="C51" s="78">
        <f>-LSUE!C51-SUSBO!C51+'TOTAL ULS SYSTEM'!C50+'TOTAL LSU SYSTEM'!C51+'TOTAL SU SYSTEM'!C51-'ULSBOS-UD'!C50-'LSUHSC S'!C51-'EA CONWAY'!C51-PENNINGTON!C51-'LSU LAW'!C51-'LSU HSC NO'!C51-LSUBOS!C51-'LSU AG'!C51-SUAG!C51-SULAW!C51-SUBOS!C51</f>
        <v>0</v>
      </c>
      <c r="D51" s="78">
        <f>-LSUE!D51-SUSBO!D51+'TOTAL ULS SYSTEM'!D50+'TOTAL LSU SYSTEM'!D51+'TOTAL SU SYSTEM'!D51-'ULSBOS-UD'!D50-'LSUHSC S'!D51-'EA CONWAY'!D51-PENNINGTON!D51-'LSU LAW'!D51-'LSU HSC NO'!D51-LSUBOS!D51-'LSU AG'!D51-SUAG!D51-SULAW!D51-SUBOS!D51</f>
        <v>0</v>
      </c>
      <c r="E51" s="78">
        <f>-LSUE!E51-SUSBO!E51+'TOTAL ULS SYSTEM'!E50+'TOTAL LSU SYSTEM'!E51+'TOTAL SU SYSTEM'!E51-'ULSBOS-UD'!E50-'LSUHSC S'!E51-'EA CONWAY'!E51-PENNINGTON!E51-'LSU LAW'!E51-'LSU HSC NO'!E51-LSUBOS!E51-'LSU AG'!E51-SUAG!E51-SULAW!E51-SUBOS!E51</f>
        <v>0</v>
      </c>
      <c r="F51" s="90">
        <f t="shared" si="1"/>
        <v>0</v>
      </c>
    </row>
    <row r="52" spans="1:6" ht="91.5">
      <c r="A52" s="80" t="s">
        <v>28</v>
      </c>
      <c r="B52" s="78">
        <f>-LSUE!B52-SUSBO!B52+'TOTAL ULS SYSTEM'!B51+'TOTAL LSU SYSTEM'!B52+'TOTAL SU SYSTEM'!B52-'ULSBOS-UD'!B51-'LSUHSC S'!B52-'EA CONWAY'!B52-PENNINGTON!B52-'LSU LAW'!B52-'LSU HSC NO'!B52-LSUBOS!B52-'LSU AG'!B52-SUAG!B52-SULAW!B52-SUBOS!B52</f>
        <v>10289667.99</v>
      </c>
      <c r="C52" s="78">
        <f>-LSUE!C52-SUSBO!C52+'TOTAL ULS SYSTEM'!C51+'TOTAL LSU SYSTEM'!C52+'TOTAL SU SYSTEM'!C52-'ULSBOS-UD'!C51-'LSUHSC S'!C52-'EA CONWAY'!C52-PENNINGTON!C52-'LSU LAW'!C52-'LSU HSC NO'!C52-LSUBOS!C52-'LSU AG'!C52-SUAG!C52-SULAW!C52-SUBOS!C52</f>
        <v>5084655</v>
      </c>
      <c r="D52" s="78">
        <f>-LSUE!D52-SUSBO!D52+'TOTAL ULS SYSTEM'!D51+'TOTAL LSU SYSTEM'!D52+'TOTAL SU SYSTEM'!D52-'ULSBOS-UD'!D51-'LSUHSC S'!D52-'EA CONWAY'!D52-PENNINGTON!D52-'LSU LAW'!D52-'LSU HSC NO'!D52-LSUBOS!D52-'LSU AG'!D52-SUAG!D52-SULAW!D52-SUBOS!D52</f>
        <v>4581129</v>
      </c>
      <c r="E52" s="78">
        <f>-LSUE!E52-SUSBO!E52+'TOTAL ULS SYSTEM'!E51+'TOTAL LSU SYSTEM'!E52+'TOTAL SU SYSTEM'!E52-'ULSBOS-UD'!E51-'LSUHSC S'!E52-'EA CONWAY'!E52-PENNINGTON!E52-'LSU LAW'!E52-'LSU HSC NO'!E52-LSUBOS!E52-'LSU AG'!E52-SUAG!E52-SULAW!E52-SUBOS!E52</f>
        <v>-503526</v>
      </c>
      <c r="F52" s="90">
        <f t="shared" si="1"/>
        <v>-0.09902854765957572</v>
      </c>
    </row>
    <row r="53" spans="1:6" ht="91.5">
      <c r="A53" s="80" t="s">
        <v>29</v>
      </c>
      <c r="B53" s="78">
        <f>-LSUE!B53-SUSBO!B53+'TOTAL ULS SYSTEM'!B52+'TOTAL LSU SYSTEM'!B53+'TOTAL SU SYSTEM'!B53-'ULSBOS-UD'!B52-'LSUHSC S'!B53-'EA CONWAY'!B53-PENNINGTON!B53-'LSU LAW'!B53-'LSU HSC NO'!B53-LSUBOS!B53-'LSU AG'!B53-SUAG!B53-SULAW!B53-SUBOS!B53</f>
        <v>24023971</v>
      </c>
      <c r="C53" s="78">
        <f>-LSUE!C53-SUSBO!C53+'TOTAL ULS SYSTEM'!C52+'TOTAL LSU SYSTEM'!C53+'TOTAL SU SYSTEM'!C53-'ULSBOS-UD'!C52-'LSUHSC S'!C53-'EA CONWAY'!C53-PENNINGTON!C53-'LSU LAW'!C53-'LSU HSC NO'!C53-LSUBOS!C53-'LSU AG'!C53-SUAG!C53-SULAW!C53-SUBOS!C53</f>
        <v>23393613</v>
      </c>
      <c r="D53" s="78">
        <f>-LSUE!D53-SUSBO!D53+'TOTAL ULS SYSTEM'!D52+'TOTAL LSU SYSTEM'!D53+'TOTAL SU SYSTEM'!D53-'ULSBOS-UD'!D52-'LSUHSC S'!D53-'EA CONWAY'!D53-PENNINGTON!D53-'LSU LAW'!D53-'LSU HSC NO'!D53-LSUBOS!D53-'LSU AG'!D53-SUAG!D53-SULAW!D53-SUBOS!D53</f>
        <v>28733657</v>
      </c>
      <c r="E53" s="78">
        <f>-LSUE!E53-SUSBO!E53+'TOTAL ULS SYSTEM'!E52+'TOTAL LSU SYSTEM'!E53+'TOTAL SU SYSTEM'!E53-'ULSBOS-UD'!E52-'LSUHSC S'!E53-'EA CONWAY'!E53-PENNINGTON!E53-'LSU LAW'!E53-'LSU HSC NO'!E53-LSUBOS!E53-'LSU AG'!E53-SUAG!E53-SULAW!E53-SUBOS!E53</f>
        <v>5340044</v>
      </c>
      <c r="F53" s="90">
        <f t="shared" si="1"/>
        <v>0.22826931436371115</v>
      </c>
    </row>
    <row r="54" spans="1:6" ht="91.5">
      <c r="A54" s="80" t="s">
        <v>30</v>
      </c>
      <c r="B54" s="78">
        <f>-LSUE!B54-SUSBO!B54+'TOTAL ULS SYSTEM'!B53+'TOTAL LSU SYSTEM'!B54+'TOTAL SU SYSTEM'!B54-'ULSBOS-UD'!B53-'LSUHSC S'!B54-'EA CONWAY'!B54-PENNINGTON!B54-'LSU LAW'!B54-'LSU HSC NO'!B54-LSUBOS!B54-'LSU AG'!B54-SUAG!B54-SULAW!B54-SUBOS!B54</f>
        <v>7850464</v>
      </c>
      <c r="C54" s="78">
        <f>-LSUE!C54-SUSBO!C54+'TOTAL ULS SYSTEM'!C53+'TOTAL LSU SYSTEM'!C54+'TOTAL SU SYSTEM'!C54-'ULSBOS-UD'!C53-'LSUHSC S'!C54-'EA CONWAY'!C54-PENNINGTON!C54-'LSU LAW'!C54-'LSU HSC NO'!C54-LSUBOS!C54-'LSU AG'!C54-SUAG!C54-SULAW!C54-SUBOS!C54</f>
        <v>7628274</v>
      </c>
      <c r="D54" s="78">
        <f>-LSUE!D54-SUSBO!D54+'TOTAL ULS SYSTEM'!D53+'TOTAL LSU SYSTEM'!D54+'TOTAL SU SYSTEM'!D54-'ULSBOS-UD'!D53-'LSUHSC S'!D54-'EA CONWAY'!D54-PENNINGTON!D54-'LSU LAW'!D54-'LSU HSC NO'!D54-LSUBOS!D54-'LSU AG'!D54-SUAG!D54-SULAW!D54-SUBOS!D54</f>
        <v>541301</v>
      </c>
      <c r="E54" s="78">
        <f>-LSUE!E54-SUSBO!E54+'TOTAL ULS SYSTEM'!E53+'TOTAL LSU SYSTEM'!E54+'TOTAL SU SYSTEM'!E54-'ULSBOS-UD'!E53-'LSUHSC S'!E54-'EA CONWAY'!E54-PENNINGTON!E54-'LSU LAW'!E54-'LSU HSC NO'!E54-LSUBOS!E54-'LSU AG'!E54-SUAG!E54-SULAW!E54-SUBOS!E54</f>
        <v>-7086973</v>
      </c>
      <c r="F54" s="90">
        <f t="shared" si="1"/>
        <v>-0.9290401734389719</v>
      </c>
    </row>
    <row r="55" spans="1:6" ht="90">
      <c r="A55" s="148" t="s">
        <v>31</v>
      </c>
      <c r="B55" s="74">
        <f>B54+B53+B52+B51+B50+7</f>
        <v>1258138308.3400004</v>
      </c>
      <c r="C55" s="74">
        <f>C54+C53+C52+C51+C50+7</f>
        <v>1306806911.16</v>
      </c>
      <c r="D55" s="74">
        <f>D54+D53+D52+D51+D50+7</f>
        <v>1434662943.0163076</v>
      </c>
      <c r="E55" s="74">
        <f>E54+E53+E52+E51+E50+7</f>
        <v>127856038.85630769</v>
      </c>
      <c r="F55" s="161">
        <f t="shared" si="1"/>
        <v>0.09783850832470346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f>-LSUE!B57-SUSBO!B57+'TOTAL ULS SYSTEM'!B56+'TOTAL LSU SYSTEM'!B57+'TOTAL SU SYSTEM'!B57-'ULSBOS-UD'!B56-'LSUHSC S'!B57-'EA CONWAY'!B57-PENNINGTON!B57-'LSU LAW'!B57-'LSU HSC NO'!B57-LSUBOS!B57-'LSU AG'!B57-SUAG!B57-SULAW!B57-SUBOS!B57</f>
        <v>662416464</v>
      </c>
      <c r="C57" s="78">
        <f>-LSUE!C57-SUSBO!C57+'TOTAL ULS SYSTEM'!C56+'TOTAL LSU SYSTEM'!C57+'TOTAL SU SYSTEM'!C57-'ULSBOS-UD'!C56-'LSUHSC S'!C57-'EA CONWAY'!C57-PENNINGTON!C57-'LSU LAW'!C57-'LSU HSC NO'!C57-LSUBOS!C57-'LSU AG'!C57-SUAG!C57-SULAW!C57-SUBOS!C57</f>
        <v>694510762.2</v>
      </c>
      <c r="D57" s="78">
        <f>-LSUE!D57-SUSBO!D57+'TOTAL ULS SYSTEM'!D56+'TOTAL LSU SYSTEM'!D57+'TOTAL SU SYSTEM'!D57-'ULSBOS-UD'!D56-'LSUHSC S'!D57-'EA CONWAY'!D57-PENNINGTON!D57-'LSU LAW'!D57-'LSU HSC NO'!D57-LSUBOS!D57-'LSU AG'!D57-SUAG!D57-SULAW!D57-SUBOS!D57</f>
        <v>770814631.0461538</v>
      </c>
      <c r="E57" s="78">
        <f>-LSUE!E57-SUSBO!E57+'TOTAL ULS SYSTEM'!E56+'TOTAL LSU SYSTEM'!E57+'TOTAL SU SYSTEM'!E57-'ULSBOS-UD'!E56-'LSUHSC S'!E57-'EA CONWAY'!E57-PENNINGTON!E57-'LSU LAW'!E57-'LSU HSC NO'!E57-LSUBOS!E57-'LSU AG'!E57-SUAG!E57-SULAW!E57-SUBOS!E57</f>
        <v>76303868.84615386</v>
      </c>
      <c r="F57" s="92">
        <f aca="true" t="shared" si="2" ref="F57:F74">IF(ISERROR(E57/C57),0,(E57/C57))</f>
        <v>0.10986707909960426</v>
      </c>
    </row>
    <row r="58" spans="1:6" ht="91.5">
      <c r="A58" s="80" t="s">
        <v>34</v>
      </c>
      <c r="B58" s="78">
        <f>-LSUE!B58-SUSBO!B58+'TOTAL ULS SYSTEM'!B57+'TOTAL LSU SYSTEM'!B58+'TOTAL SU SYSTEM'!B58-'ULSBOS-UD'!B57-'LSUHSC S'!B58-'EA CONWAY'!B58-PENNINGTON!B58-'LSU LAW'!B58-'LSU HSC NO'!B58-LSUBOS!B58-'LSU AG'!B58-SUAG!B58-SULAW!B58-SUBOS!B58</f>
        <v>37491289.41</v>
      </c>
      <c r="C58" s="78">
        <f>-LSUE!C58-SUSBO!C58+'TOTAL ULS SYSTEM'!C57+'TOTAL LSU SYSTEM'!C58+'TOTAL SU SYSTEM'!C58-'ULSBOS-UD'!C57-'LSUHSC S'!C58-'EA CONWAY'!C58-PENNINGTON!C58-'LSU LAW'!C58-'LSU HSC NO'!C58-LSUBOS!C58-'LSU AG'!C58-SUAG!C58-SULAW!C58-SUBOS!C58</f>
        <v>38988416</v>
      </c>
      <c r="D58" s="78">
        <f>-LSUE!D58-SUSBO!D58+'TOTAL ULS SYSTEM'!D57+'TOTAL LSU SYSTEM'!D58+'TOTAL SU SYSTEM'!D58-'ULSBOS-UD'!D57-'LSUHSC S'!D58-'EA CONWAY'!D58-PENNINGTON!D58-'LSU LAW'!D58-'LSU HSC NO'!D58-LSUBOS!D58-'LSU AG'!D58-SUAG!D58-SULAW!D58-SUBOS!D58</f>
        <v>40413728</v>
      </c>
      <c r="E58" s="78">
        <f>-LSUE!E58-SUSBO!E58+'TOTAL ULS SYSTEM'!E57+'TOTAL LSU SYSTEM'!E58+'TOTAL SU SYSTEM'!E58-'ULSBOS-UD'!E57-'LSUHSC S'!E58-'EA CONWAY'!E58-PENNINGTON!E58-'LSU LAW'!E58-'LSU HSC NO'!E58-LSUBOS!E58-'LSU AG'!E58-SUAG!E58-SULAW!E58-SUBOS!E58</f>
        <v>1425312</v>
      </c>
      <c r="F58" s="90">
        <f t="shared" si="2"/>
        <v>0.03655731999986868</v>
      </c>
    </row>
    <row r="59" spans="1:6" ht="91.5">
      <c r="A59" s="80" t="s">
        <v>35</v>
      </c>
      <c r="B59" s="78">
        <f>-LSUE!B59-SUSBO!B59+'TOTAL ULS SYSTEM'!B58+'TOTAL LSU SYSTEM'!B59+'TOTAL SU SYSTEM'!B59-'ULSBOS-UD'!B58-'LSUHSC S'!B59-'EA CONWAY'!B59-PENNINGTON!B59-'LSU LAW'!B59-'LSU HSC NO'!B59-LSUBOS!B59-'LSU AG'!B59-SUAG!B59-SULAW!B59-SUBOS!B59</f>
        <v>200869905.99</v>
      </c>
      <c r="C59" s="78">
        <f>-LSUE!C59-SUSBO!C59+'TOTAL ULS SYSTEM'!C58+'TOTAL LSU SYSTEM'!C59+'TOTAL SU SYSTEM'!C59-'ULSBOS-UD'!C58-'LSUHSC S'!C59-'EA CONWAY'!C59-PENNINGTON!C59-'LSU LAW'!C59-'LSU HSC NO'!C59-LSUBOS!C59-'LSU AG'!C59-SUAG!C59-SULAW!C59-SUBOS!C59</f>
        <v>212884625.96000004</v>
      </c>
      <c r="D59" s="78">
        <f>-LSUE!D59-SUSBO!D59+'TOTAL ULS SYSTEM'!D58+'TOTAL LSU SYSTEM'!D59+'TOTAL SU SYSTEM'!D59-'ULSBOS-UD'!D58-'LSUHSC S'!D59-'EA CONWAY'!D59-PENNINGTON!D59-'LSU LAW'!D59-'LSU HSC NO'!D59-LSUBOS!D59-'LSU AG'!D59-SUAG!D59-SULAW!D59-SUBOS!D59</f>
        <v>240362615.9701538</v>
      </c>
      <c r="E59" s="78">
        <f>-LSUE!E59-SUSBO!E59+'TOTAL ULS SYSTEM'!E58+'TOTAL LSU SYSTEM'!E59+'TOTAL SU SYSTEM'!E59-'ULSBOS-UD'!E58-'LSUHSC S'!E59-'EA CONWAY'!E59-PENNINGTON!E59-'LSU LAW'!E59-'LSU HSC NO'!E59-LSUBOS!E59-'LSU AG'!E59-SUAG!E59-SULAW!E59-SUBOS!E59</f>
        <v>27477990.01015383</v>
      </c>
      <c r="F59" s="90">
        <f t="shared" si="2"/>
        <v>0.12907456274140156</v>
      </c>
    </row>
    <row r="60" spans="1:6" ht="90">
      <c r="A60" s="93" t="s">
        <v>36</v>
      </c>
      <c r="B60" s="96">
        <f>SUM(B57:B59)</f>
        <v>900777659.4</v>
      </c>
      <c r="C60" s="96">
        <f>SUM(C57:C59)</f>
        <v>946383804.1600001</v>
      </c>
      <c r="D60" s="96">
        <f>SUM(D57:D59)</f>
        <v>1051590975.0163076</v>
      </c>
      <c r="E60" s="96">
        <f>SUM(E57:E59)</f>
        <v>105207170.85630769</v>
      </c>
      <c r="F60" s="97">
        <f t="shared" si="2"/>
        <v>0.11116755210079743</v>
      </c>
    </row>
    <row r="61" spans="1:6" ht="91.5">
      <c r="A61" s="80" t="s">
        <v>37</v>
      </c>
      <c r="B61" s="78">
        <f>-LSUE!B61-SUSBO!B61+'TOTAL ULS SYSTEM'!B60+'TOTAL LSU SYSTEM'!B61+'TOTAL SU SYSTEM'!B61-'ULSBOS-UD'!B60-'LSUHSC S'!B61-'EA CONWAY'!B61-PENNINGTON!B61-'LSU LAW'!B61-'LSU HSC NO'!B61-LSUBOS!B61-'LSU AG'!B61-SUAG!B61-SULAW!B61-SUBOS!B61</f>
        <v>9249207.64</v>
      </c>
      <c r="C61" s="78">
        <f>-LSUE!C61-SUSBO!C61+'TOTAL ULS SYSTEM'!C60+'TOTAL LSU SYSTEM'!C61+'TOTAL SU SYSTEM'!C61-'ULSBOS-UD'!C60-'LSUHSC S'!C61-'EA CONWAY'!C61-PENNINGTON!C61-'LSU LAW'!C61-'LSU HSC NO'!C61-LSUBOS!C61-'LSU AG'!C61-SUAG!C61-SULAW!C61-SUBOS!C61</f>
        <v>8580151</v>
      </c>
      <c r="D61" s="78">
        <f>-LSUE!D61-SUSBO!D61+'TOTAL ULS SYSTEM'!D60+'TOTAL LSU SYSTEM'!D61+'TOTAL SU SYSTEM'!D61-'ULSBOS-UD'!D60-'LSUHSC S'!D61-'EA CONWAY'!D61-PENNINGTON!D61-'LSU LAW'!D61-'LSU HSC NO'!D61-LSUBOS!D61-'LSU AG'!D61-SUAG!D61-SULAW!D61-SUBOS!D61</f>
        <v>9763877</v>
      </c>
      <c r="E61" s="78">
        <f>-LSUE!E61-SUSBO!E61+'TOTAL ULS SYSTEM'!E60+'TOTAL LSU SYSTEM'!E61+'TOTAL SU SYSTEM'!E61-'ULSBOS-UD'!E60-'LSUHSC S'!E61-'EA CONWAY'!E61-PENNINGTON!E61-'LSU LAW'!E61-'LSU HSC NO'!E61-LSUBOS!E61-'LSU AG'!E61-SUAG!E61-SULAW!E61-SUBOS!E61</f>
        <v>1183726</v>
      </c>
      <c r="F61" s="90">
        <f t="shared" si="2"/>
        <v>0.1379609752788733</v>
      </c>
    </row>
    <row r="62" spans="1:6" ht="91.5">
      <c r="A62" s="80" t="s">
        <v>38</v>
      </c>
      <c r="B62" s="78">
        <f>-LSUE!B62-SUSBO!B62+'TOTAL ULS SYSTEM'!B61+'TOTAL LSU SYSTEM'!B62+'TOTAL SU SYSTEM'!B62-'ULSBOS-UD'!B61-'LSUHSC S'!B62-'EA CONWAY'!B62-PENNINGTON!B62-'LSU LAW'!B62-'LSU HSC NO'!B62-LSUBOS!B62-'LSU AG'!B62-SUAG!B62-SULAW!B62-SUBOS!B62</f>
        <v>102878999.32</v>
      </c>
      <c r="C62" s="78">
        <f>-LSUE!C62-SUSBO!C62+'TOTAL ULS SYSTEM'!C61+'TOTAL LSU SYSTEM'!C62+'TOTAL SU SYSTEM'!C62-'ULSBOS-UD'!C61-'LSUHSC S'!C62-'EA CONWAY'!C62-PENNINGTON!C62-'LSU LAW'!C62-'LSU HSC NO'!C62-LSUBOS!C62-'LSU AG'!C62-SUAG!C62-SULAW!C62-SUBOS!C62</f>
        <v>107382159</v>
      </c>
      <c r="D62" s="78">
        <f>-LSUE!D62-SUSBO!D62+'TOTAL ULS SYSTEM'!D61+'TOTAL LSU SYSTEM'!D62+'TOTAL SU SYSTEM'!D62-'ULSBOS-UD'!D61-'LSUHSC S'!D62-'EA CONWAY'!D62-PENNINGTON!D62-'LSU LAW'!D62-'LSU HSC NO'!D62-LSUBOS!D62-'LSU AG'!D62-SUAG!D62-SULAW!D62-SUBOS!D62</f>
        <v>109930411</v>
      </c>
      <c r="E62" s="78">
        <f>-LSUE!E62-SUSBO!E62+'TOTAL ULS SYSTEM'!E61+'TOTAL LSU SYSTEM'!E62+'TOTAL SU SYSTEM'!E62-'ULSBOS-UD'!E61-'LSUHSC S'!E62-'EA CONWAY'!E62-PENNINGTON!E62-'LSU LAW'!E62-'LSU HSC NO'!E62-LSUBOS!E62-'LSU AG'!E62-SUAG!E62-SULAW!E62-SUBOS!E62</f>
        <v>2548252</v>
      </c>
      <c r="F62" s="90">
        <f t="shared" si="2"/>
        <v>0.023730683232025537</v>
      </c>
    </row>
    <row r="63" spans="1:6" ht="91.5">
      <c r="A63" s="80" t="s">
        <v>39</v>
      </c>
      <c r="B63" s="78">
        <f>-LSUE!B63-SUSBO!B63+'TOTAL ULS SYSTEM'!B62+'TOTAL LSU SYSTEM'!B63+'TOTAL SU SYSTEM'!B63-'ULSBOS-UD'!B62-'LSUHSC S'!B63-'EA CONWAY'!B63-PENNINGTON!B63-'LSU LAW'!B63-'LSU HSC NO'!B63-LSUBOS!B63-'LSU AG'!B63-SUAG!B63-SULAW!B63-SUBOS!B63</f>
        <v>33198867.449999988</v>
      </c>
      <c r="C63" s="78">
        <f>-LSUE!C63-SUSBO!C63+'TOTAL ULS SYSTEM'!C62+'TOTAL LSU SYSTEM'!C63+'TOTAL SU SYSTEM'!C63-'ULSBOS-UD'!C62-'LSUHSC S'!C63-'EA CONWAY'!C63-PENNINGTON!C63-'LSU LAW'!C63-'LSU HSC NO'!C63-LSUBOS!C63-'LSU AG'!C63-SUAG!C63-SULAW!C63-SUBOS!C63</f>
        <v>26984664</v>
      </c>
      <c r="D63" s="78">
        <f>-LSUE!D63-SUSBO!D63+'TOTAL ULS SYSTEM'!D62+'TOTAL LSU SYSTEM'!D63+'TOTAL SU SYSTEM'!D63-'ULSBOS-UD'!D62-'LSUHSC S'!D63-'EA CONWAY'!D63-PENNINGTON!D63-'LSU LAW'!D63-'LSU HSC NO'!D63-LSUBOS!D63-'LSU AG'!D63-SUAG!D63-SULAW!D63-SUBOS!D63</f>
        <v>30235734</v>
      </c>
      <c r="E63" s="78">
        <f>-LSUE!E63-SUSBO!E63+'TOTAL ULS SYSTEM'!E62+'TOTAL LSU SYSTEM'!E63+'TOTAL SU SYSTEM'!E63-'ULSBOS-UD'!E62-'LSUHSC S'!E63-'EA CONWAY'!E63-PENNINGTON!E63-'LSU LAW'!E63-'LSU HSC NO'!E63-LSUBOS!E63-'LSU AG'!E63-SUAG!E63-SULAW!E63-SUBOS!E63</f>
        <v>3251070</v>
      </c>
      <c r="F63" s="90">
        <f t="shared" si="2"/>
        <v>0.12047843174923356</v>
      </c>
    </row>
    <row r="64" spans="1:6" ht="90">
      <c r="A64" s="76" t="s">
        <v>40</v>
      </c>
      <c r="B64" s="83">
        <f>SUM(B61:B63)</f>
        <v>145327074.40999997</v>
      </c>
      <c r="C64" s="83">
        <f>SUM(C61:C63)</f>
        <v>142946974</v>
      </c>
      <c r="D64" s="83">
        <f>SUM(D61:D63)</f>
        <v>149930022</v>
      </c>
      <c r="E64" s="83">
        <f>SUM(E61:E63)</f>
        <v>6983048</v>
      </c>
      <c r="F64" s="87">
        <f t="shared" si="2"/>
        <v>0.04885061785218343</v>
      </c>
    </row>
    <row r="65" spans="1:6" ht="91.5">
      <c r="A65" s="80" t="s">
        <v>41</v>
      </c>
      <c r="B65" s="78">
        <f>-LSUE!B65-SUSBO!B65+'TOTAL ULS SYSTEM'!B64+'TOTAL LSU SYSTEM'!B65+'TOTAL SU SYSTEM'!B65-'ULSBOS-UD'!B64-'LSUHSC S'!B65-'EA CONWAY'!B65-PENNINGTON!B65-'LSU LAW'!B65-'LSU HSC NO'!B65-LSUBOS!B65-'LSU AG'!B65-SUAG!B65-SULAW!B65-SUBOS!B65</f>
        <v>9395662.009999998</v>
      </c>
      <c r="C65" s="78">
        <f>-LSUE!C65-SUSBO!C65+'TOTAL ULS SYSTEM'!C64+'TOTAL LSU SYSTEM'!C65+'TOTAL SU SYSTEM'!C65-'ULSBOS-UD'!C64-'LSUHSC S'!C65-'EA CONWAY'!C65-PENNINGTON!C65-'LSU LAW'!C65-'LSU HSC NO'!C65-LSUBOS!C65-'LSU AG'!C65-SUAG!C65-SULAW!C65-SUBOS!C65</f>
        <v>9114366</v>
      </c>
      <c r="D65" s="78">
        <f>-LSUE!D65-SUSBO!D65+'TOTAL ULS SYSTEM'!D64+'TOTAL LSU SYSTEM'!D65+'TOTAL SU SYSTEM'!D65-'ULSBOS-UD'!D64-'LSUHSC S'!D65-'EA CONWAY'!D65-PENNINGTON!D65-'LSU LAW'!D65-'LSU HSC NO'!D65-LSUBOS!D65-'LSU AG'!D65-SUAG!D65-SULAW!D65-SUBOS!D65</f>
        <v>10649211</v>
      </c>
      <c r="E65" s="78">
        <f>-LSUE!E65-SUSBO!E65+'TOTAL ULS SYSTEM'!E64+'TOTAL LSU SYSTEM'!E65+'TOTAL SU SYSTEM'!E65-'ULSBOS-UD'!E64-'LSUHSC S'!E65-'EA CONWAY'!E65-PENNINGTON!E65-'LSU LAW'!E65-'LSU HSC NO'!E65-LSUBOS!E65-'LSU AG'!E65-SUAG!E65-SULAW!E65-SUBOS!E65</f>
        <v>1534845</v>
      </c>
      <c r="F65" s="90">
        <f t="shared" si="2"/>
        <v>0.16839843824573206</v>
      </c>
    </row>
    <row r="66" spans="1:6" ht="91.5">
      <c r="A66" s="80" t="s">
        <v>42</v>
      </c>
      <c r="B66" s="78">
        <f>-LSUE!B66-SUSBO!B66+'TOTAL ULS SYSTEM'!B65+'TOTAL LSU SYSTEM'!B66+'TOTAL SU SYSTEM'!B66-'ULSBOS-UD'!B65-'LSUHSC S'!B66-'EA CONWAY'!B66-PENNINGTON!B66-'LSU LAW'!B66-'LSU HSC NO'!B66-LSUBOS!B66-'LSU AG'!B66-SUAG!B66-SULAW!B66-SUBOS!B66</f>
        <v>143408661.67000002</v>
      </c>
      <c r="C66" s="78">
        <f>-LSUE!C66-SUSBO!C66+'TOTAL ULS SYSTEM'!C65+'TOTAL LSU SYSTEM'!C66+'TOTAL SU SYSTEM'!C66-'ULSBOS-UD'!C65-'LSUHSC S'!C66-'EA CONWAY'!C66-PENNINGTON!C66-'LSU LAW'!C66-'LSU HSC NO'!C66-LSUBOS!C66-'LSU AG'!C66-SUAG!C66-SULAW!C66-SUBOS!C66</f>
        <v>141895114</v>
      </c>
      <c r="D66" s="78">
        <f>-LSUE!D66-SUSBO!D66+'TOTAL ULS SYSTEM'!D65+'TOTAL LSU SYSTEM'!D66+'TOTAL SU SYSTEM'!D66-'ULSBOS-UD'!D65-'LSUHSC S'!D66-'EA CONWAY'!D66-PENNINGTON!D66-'LSU LAW'!D66-'LSU HSC NO'!D66-LSUBOS!D66-'LSU AG'!D66-SUAG!D66-SULAW!D66-SUBOS!D66</f>
        <v>143059694</v>
      </c>
      <c r="E66" s="78">
        <f>-LSUE!E66-SUSBO!E66+'TOTAL ULS SYSTEM'!E65+'TOTAL LSU SYSTEM'!E66+'TOTAL SU SYSTEM'!E66-'ULSBOS-UD'!E65-'LSUHSC S'!E66-'EA CONWAY'!E66-PENNINGTON!E66-'LSU LAW'!E66-'LSU HSC NO'!E66-LSUBOS!E66-'LSU AG'!E66-SUAG!E66-SULAW!E66-SUBOS!E66</f>
        <v>1164580</v>
      </c>
      <c r="F66" s="90">
        <f t="shared" si="2"/>
        <v>0.008207329816867408</v>
      </c>
    </row>
    <row r="67" spans="1:6" ht="91.5">
      <c r="A67" s="80" t="s">
        <v>43</v>
      </c>
      <c r="B67" s="78">
        <f>-LSUE!B67-SUSBO!B67+'TOTAL ULS SYSTEM'!B66+'TOTAL LSU SYSTEM'!B67+'TOTAL SU SYSTEM'!B67-'ULSBOS-UD'!B66-'LSUHSC S'!B67-'EA CONWAY'!B67-PENNINGTON!B67-'LSU LAW'!B67-'LSU HSC NO'!B67-LSUBOS!B67-'LSU AG'!B67-SUAG!B67-SULAW!B67-SUBOS!B67</f>
        <v>12320</v>
      </c>
      <c r="C67" s="78">
        <f>-LSUE!C67-SUSBO!C67+'TOTAL ULS SYSTEM'!C66+'TOTAL LSU SYSTEM'!C67+'TOTAL SU SYSTEM'!C67-'ULSBOS-UD'!C66-'LSUHSC S'!C67-'EA CONWAY'!C67-PENNINGTON!C67-'LSU LAW'!C67-'LSU HSC NO'!C67-LSUBOS!C67-'LSU AG'!C67-SUAG!C67-SULAW!C67-SUBOS!C67</f>
        <v>0</v>
      </c>
      <c r="D67" s="78">
        <f>-LSUE!D67-SUSBO!D67+'TOTAL ULS SYSTEM'!D66+'TOTAL LSU SYSTEM'!D67+'TOTAL SU SYSTEM'!D67-'ULSBOS-UD'!D66-'LSUHSC S'!D67-'EA CONWAY'!D67-PENNINGTON!D67-'LSU LAW'!D67-'LSU HSC NO'!D67-LSUBOS!D67-'LSU AG'!D67-SUAG!D67-SULAW!D67-SUBOS!D67</f>
        <v>0</v>
      </c>
      <c r="E67" s="78">
        <f>-LSUE!E67-SUSBO!E67+'TOTAL ULS SYSTEM'!E66+'TOTAL LSU SYSTEM'!E67+'TOTAL SU SYSTEM'!E67-'ULSBOS-UD'!E66-'LSUHSC S'!E67-'EA CONWAY'!E67-PENNINGTON!E67-'LSU LAW'!E67-'LSU HSC NO'!E67-LSUBOS!E67-'LSU AG'!E67-SUAG!E67-SULAW!E67-SUBOS!E67</f>
        <v>0</v>
      </c>
      <c r="F67" s="90">
        <f t="shared" si="2"/>
        <v>0</v>
      </c>
    </row>
    <row r="68" spans="1:6" ht="91.5">
      <c r="A68" s="80" t="s">
        <v>44</v>
      </c>
      <c r="B68" s="78">
        <f>-LSUE!B68-SUSBO!B68+'TOTAL ULS SYSTEM'!B67+'TOTAL LSU SYSTEM'!B68+'TOTAL SU SYSTEM'!B68-'ULSBOS-UD'!B67-'LSUHSC S'!B68-'EA CONWAY'!B68-PENNINGTON!B68-'LSU LAW'!B68-'LSU HSC NO'!B68-LSUBOS!B68-'LSU AG'!B68-SUAG!B68-SULAW!B68-SUBOS!B68</f>
        <v>22687404.990000002</v>
      </c>
      <c r="C68" s="78">
        <f>-LSUE!C68-SUSBO!C68+'TOTAL ULS SYSTEM'!C67+'TOTAL LSU SYSTEM'!C68+'TOTAL SU SYSTEM'!C68-'ULSBOS-UD'!C67-'LSUHSC S'!C68-'EA CONWAY'!C68-PENNINGTON!C68-'LSU LAW'!C68-'LSU HSC NO'!C68-LSUBOS!C68-'LSU AG'!C68-SUAG!C68-SULAW!C68-SUBOS!C68</f>
        <v>25562207</v>
      </c>
      <c r="D68" s="78">
        <f>-LSUE!D68-SUSBO!D68+'TOTAL ULS SYSTEM'!D67+'TOTAL LSU SYSTEM'!D68+'TOTAL SU SYSTEM'!D68-'ULSBOS-UD'!D67-'LSUHSC S'!D68-'EA CONWAY'!D68-PENNINGTON!D68-'LSU LAW'!D68-'LSU HSC NO'!D68-LSUBOS!D68-'LSU AG'!D68-SUAG!D68-SULAW!D68-SUBOS!D68</f>
        <v>22833279</v>
      </c>
      <c r="E68" s="78">
        <f>-LSUE!E68-SUSBO!E68+'TOTAL ULS SYSTEM'!E67+'TOTAL LSU SYSTEM'!E68+'TOTAL SU SYSTEM'!E68-'ULSBOS-UD'!E67-'LSUHSC S'!E68-'EA CONWAY'!E68-PENNINGTON!E68-'LSU LAW'!E68-'LSU HSC NO'!E68-LSUBOS!E68-'LSU AG'!E68-SUAG!E68-SULAW!E68-SUBOS!E68</f>
        <v>-2728928</v>
      </c>
      <c r="F68" s="90">
        <f t="shared" si="2"/>
        <v>-0.10675635323663563</v>
      </c>
    </row>
    <row r="69" spans="1:6" ht="90">
      <c r="A69" s="76" t="s">
        <v>45</v>
      </c>
      <c r="B69" s="85">
        <f>SUM(B65:B68)</f>
        <v>175504048.67000002</v>
      </c>
      <c r="C69" s="85">
        <f>SUM(C65:C68)</f>
        <v>176571687</v>
      </c>
      <c r="D69" s="85">
        <f>SUM(D65:D68)</f>
        <v>176542184</v>
      </c>
      <c r="E69" s="85">
        <f>SUM(E65:E68)</f>
        <v>-29503</v>
      </c>
      <c r="F69" s="87">
        <f t="shared" si="2"/>
        <v>-0.00016708794315364953</v>
      </c>
    </row>
    <row r="70" spans="1:6" ht="91.5">
      <c r="A70" s="80" t="s">
        <v>57</v>
      </c>
      <c r="B70" s="78">
        <f>-LSUE!B70-SUSBO!B70+'TOTAL ULS SYSTEM'!B69+'TOTAL LSU SYSTEM'!B70+'TOTAL SU SYSTEM'!B70-'ULSBOS-UD'!B69-'LSUHSC S'!B70-'EA CONWAY'!B70-PENNINGTON!B70-'LSU LAW'!B70-'LSU HSC NO'!B70-LSUBOS!B70-'LSU AG'!B70-SUAG!B70-SULAW!B70-SUBOS!B70</f>
        <v>21924544.019999996</v>
      </c>
      <c r="C70" s="78">
        <f>-LSUE!C70-SUSBO!C70+'TOTAL ULS SYSTEM'!C69+'TOTAL LSU SYSTEM'!C70+'TOTAL SU SYSTEM'!C70-'ULSBOS-UD'!C69-'LSUHSC S'!C70-'EA CONWAY'!C70-PENNINGTON!C70-'LSU LAW'!C70-'LSU HSC NO'!C70-LSUBOS!C70-'LSU AG'!C70-SUAG!C70-SULAW!C70-SUBOS!C70</f>
        <v>26017567</v>
      </c>
      <c r="D70" s="78">
        <f>-LSUE!D70-SUSBO!D70+'TOTAL ULS SYSTEM'!D69+'TOTAL LSU SYSTEM'!D70+'TOTAL SU SYSTEM'!D70-'ULSBOS-UD'!D69-'LSUHSC S'!D70-'EA CONWAY'!D70-PENNINGTON!D70-'LSU LAW'!D70-'LSU HSC NO'!D70-LSUBOS!D70-'LSU AG'!D70-SUAG!D70-SULAW!D70-SUBOS!D70</f>
        <v>38077816</v>
      </c>
      <c r="E70" s="78">
        <f>-LSUE!E70-SUSBO!E70+'TOTAL ULS SYSTEM'!E69+'TOTAL LSU SYSTEM'!E70+'TOTAL SU SYSTEM'!E70-'ULSBOS-UD'!E69-'LSUHSC S'!E70-'EA CONWAY'!E70-PENNINGTON!E70-'LSU LAW'!E70-'LSU HSC NO'!E70-LSUBOS!E70-'LSU AG'!E70-SUAG!E70-SULAW!E70-SUBOS!E70</f>
        <v>12060249</v>
      </c>
      <c r="F70" s="90">
        <f t="shared" si="2"/>
        <v>0.4635425364716078</v>
      </c>
    </row>
    <row r="71" spans="1:6" ht="91.5">
      <c r="A71" s="80" t="s">
        <v>46</v>
      </c>
      <c r="B71" s="78">
        <f>-LSUE!B71-SUSBO!B71+'TOTAL ULS SYSTEM'!B70+'TOTAL LSU SYSTEM'!B71+'TOTAL SU SYSTEM'!B71-'ULSBOS-UD'!B70-'LSUHSC S'!B71-'EA CONWAY'!B71-PENNINGTON!B71-'LSU LAW'!B71-'LSU HSC NO'!B71-LSUBOS!B71-'LSU AG'!B71-SUAG!B71-SULAW!B71-SUBOS!B71</f>
        <v>12056556.879999999</v>
      </c>
      <c r="C71" s="78">
        <f>-LSUE!C71-SUSBO!C71+'TOTAL ULS SYSTEM'!C70+'TOTAL LSU SYSTEM'!C71+'TOTAL SU SYSTEM'!C71-'ULSBOS-UD'!C70-'LSUHSC S'!C71-'EA CONWAY'!C71-PENNINGTON!C71-'LSU LAW'!C71-'LSU HSC NO'!C71-LSUBOS!C71-'LSU AG'!C71-SUAG!C71-SULAW!C71-SUBOS!C71</f>
        <v>13919602</v>
      </c>
      <c r="D71" s="78">
        <f>-LSUE!D71-SUSBO!D71+'TOTAL ULS SYSTEM'!D70+'TOTAL LSU SYSTEM'!D71+'TOTAL SU SYSTEM'!D71-'ULSBOS-UD'!D70-'LSUHSC S'!D71-'EA CONWAY'!D71-PENNINGTON!D71-'LSU LAW'!D71-'LSU HSC NO'!D71-LSUBOS!D71-'LSU AG'!D71-SUAG!D71-SULAW!D71-SUBOS!D71</f>
        <v>15164771</v>
      </c>
      <c r="E71" s="78">
        <f>-LSUE!E71-SUSBO!E71+'TOTAL ULS SYSTEM'!E70+'TOTAL LSU SYSTEM'!E71+'TOTAL SU SYSTEM'!E71-'ULSBOS-UD'!E70-'LSUHSC S'!E71-'EA CONWAY'!E71-PENNINGTON!E71-'LSU LAW'!E71-'LSU HSC NO'!E71-LSUBOS!E71-'LSU AG'!E71-SUAG!E71-SULAW!E71-SUBOS!E71</f>
        <v>1245169</v>
      </c>
      <c r="F71" s="90">
        <f t="shared" si="2"/>
        <v>0.08945435365177826</v>
      </c>
    </row>
    <row r="72" spans="1:6" ht="91.5">
      <c r="A72" s="98" t="s">
        <v>47</v>
      </c>
      <c r="B72" s="78">
        <f>-LSUE!B72-SUSBO!B72+'TOTAL ULS SYSTEM'!B71+'TOTAL LSU SYSTEM'!B72+'TOTAL SU SYSTEM'!B72-'ULSBOS-UD'!B71-'LSUHSC S'!B72-'EA CONWAY'!B72-PENNINGTON!B72-'LSU LAW'!B72-'LSU HSC NO'!B72-LSUBOS!B72-'LSU AG'!B72-SUAG!B72-SULAW!B72-SUBOS!B72</f>
        <v>2548413.46</v>
      </c>
      <c r="C72" s="78">
        <f>-LSUE!C72-SUSBO!C72+'TOTAL ULS SYSTEM'!C71+'TOTAL LSU SYSTEM'!C72+'TOTAL SU SYSTEM'!C72-'ULSBOS-UD'!C71-'LSUHSC S'!C72-'EA CONWAY'!C72-PENNINGTON!C72-'LSU LAW'!C72-'LSU HSC NO'!C72-LSUBOS!C72-'LSU AG'!C72-SUAG!C72-SULAW!C72-SUBOS!C72</f>
        <v>967270</v>
      </c>
      <c r="D72" s="78">
        <f>-LSUE!D72-SUSBO!D72+'TOTAL ULS SYSTEM'!D71+'TOTAL LSU SYSTEM'!D72+'TOTAL SU SYSTEM'!D72-'ULSBOS-UD'!D71-'LSUHSC S'!D72-'EA CONWAY'!D72-PENNINGTON!D72-'LSU LAW'!D72-'LSU HSC NO'!D72-LSUBOS!D72-'LSU AG'!D72-SUAG!D72-SULAW!D72-SUBOS!D72</f>
        <v>3357164</v>
      </c>
      <c r="E72" s="78">
        <f>-LSUE!E72-SUSBO!E72+'TOTAL ULS SYSTEM'!E71+'TOTAL LSU SYSTEM'!E72+'TOTAL SU SYSTEM'!E72-'ULSBOS-UD'!E71-'LSUHSC S'!E72-'EA CONWAY'!E72-PENNINGTON!E72-'LSU LAW'!E72-'LSU HSC NO'!E72-LSUBOS!E72-'LSU AG'!E72-SUAG!E72-SULAW!E72-SUBOS!E72</f>
        <v>2389894</v>
      </c>
      <c r="F72" s="90">
        <f t="shared" si="2"/>
        <v>2.4707620416222977</v>
      </c>
    </row>
    <row r="73" spans="1:6" ht="90">
      <c r="A73" s="99" t="s">
        <v>48</v>
      </c>
      <c r="B73" s="85">
        <f>SUM(B70:B72)</f>
        <v>36529514.35999999</v>
      </c>
      <c r="C73" s="85">
        <f>SUM(C70:C72)</f>
        <v>40904439</v>
      </c>
      <c r="D73" s="85">
        <f>SUM(D70:D72)</f>
        <v>56599751</v>
      </c>
      <c r="E73" s="85">
        <f>SUM(E70:E72)</f>
        <v>15695312</v>
      </c>
      <c r="F73" s="95">
        <f t="shared" si="2"/>
        <v>0.3837068148031562</v>
      </c>
    </row>
    <row r="74" spans="1:6" ht="90">
      <c r="A74" s="94" t="s">
        <v>31</v>
      </c>
      <c r="B74" s="85">
        <f>B73+B69+B64+B60+4</f>
        <v>1258138300.84</v>
      </c>
      <c r="C74" s="85">
        <f>C73+C69+C64+C60+4</f>
        <v>1306806908.16</v>
      </c>
      <c r="D74" s="85">
        <f>D73+D69+D64+D60+4</f>
        <v>1434662936.0163076</v>
      </c>
      <c r="E74" s="85">
        <f>E73+E69+E64+E60+4</f>
        <v>127856031.85630769</v>
      </c>
      <c r="F74" s="95">
        <f t="shared" si="2"/>
        <v>0.09783850319274064</v>
      </c>
    </row>
    <row r="75" spans="1:6" ht="91.5">
      <c r="A75" s="50" t="s">
        <v>186</v>
      </c>
      <c r="B75" s="51"/>
      <c r="C75" s="51"/>
      <c r="D75" s="51"/>
      <c r="E75" s="51"/>
      <c r="F75" s="57"/>
    </row>
    <row r="76" spans="1:6" ht="91.5">
      <c r="A76" s="56"/>
      <c r="B76" s="51"/>
      <c r="C76" s="51"/>
      <c r="D76" s="51" t="s">
        <v>0</v>
      </c>
      <c r="E76" s="51"/>
      <c r="F76" s="100"/>
    </row>
  </sheetData>
  <sheetProtection/>
  <printOptions/>
  <pageMargins left="0.75" right="0.75" top="1" bottom="1" header="0.5" footer="0.5"/>
  <pageSetup fitToHeight="1" fitToWidth="1" horizontalDpi="600" verticalDpi="600" orientation="portrait" scale="1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5" zoomScaleNormal="35" zoomScalePageLayoutView="0" workbookViewId="0" topLeftCell="B1">
      <selection activeCell="B76" sqref="B76"/>
    </sheetView>
  </sheetViews>
  <sheetFormatPr defaultColWidth="9.6640625" defaultRowHeight="15"/>
  <cols>
    <col min="1" max="1" width="255.77734375" style="56" bestFit="1" customWidth="1"/>
    <col min="2" max="4" width="61.99609375" style="51" bestFit="1" customWidth="1"/>
    <col min="5" max="5" width="97.5546875" style="51" bestFit="1" customWidth="1"/>
    <col min="6" max="6" width="48.99609375" style="57" bestFit="1" customWidth="1"/>
    <col min="7" max="16384" width="9.6640625" style="56" customWidth="1"/>
  </cols>
  <sheetData>
    <row r="1" spans="1:6" ht="91.5">
      <c r="A1" s="50" t="s">
        <v>3</v>
      </c>
      <c r="C1" s="52"/>
      <c r="D1" s="102" t="s">
        <v>6</v>
      </c>
      <c r="E1" s="123" t="s">
        <v>183</v>
      </c>
      <c r="F1" s="56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14103444</v>
      </c>
      <c r="C8" s="74">
        <v>14103444</v>
      </c>
      <c r="D8" s="74">
        <v>17546142</v>
      </c>
      <c r="E8" s="74">
        <f>D8-C8</f>
        <v>3442698</v>
      </c>
      <c r="F8" s="75">
        <f aca="true" t="shared" si="0" ref="F8:F22">IF(ISERROR(E8/C8),0,(E8/C8))</f>
        <v>0.24410335518047932</v>
      </c>
    </row>
    <row r="9" spans="1:6" ht="91.5">
      <c r="A9" s="76" t="s">
        <v>60</v>
      </c>
      <c r="B9" s="74">
        <f>SUM(B10:B21)</f>
        <v>975232</v>
      </c>
      <c r="C9" s="74">
        <f>SUM(C10:C21)</f>
        <v>975232</v>
      </c>
      <c r="D9" s="74">
        <f>SUM(D10:D21)</f>
        <v>715695</v>
      </c>
      <c r="E9" s="74">
        <f>SUM(E10:E21)</f>
        <v>-259537</v>
      </c>
      <c r="F9" s="75">
        <f t="shared" si="0"/>
        <v>-0.26612846994356215</v>
      </c>
    </row>
    <row r="10" spans="1:6" ht="91.5">
      <c r="A10" s="77" t="s">
        <v>61</v>
      </c>
      <c r="B10" s="78">
        <v>296192</v>
      </c>
      <c r="C10" s="78">
        <v>296192</v>
      </c>
      <c r="D10" s="78">
        <v>0</v>
      </c>
      <c r="E10" s="78">
        <f aca="true" t="shared" si="1" ref="E10:E22">D10-C10</f>
        <v>-296192</v>
      </c>
      <c r="F10" s="79">
        <f t="shared" si="0"/>
        <v>-1</v>
      </c>
    </row>
    <row r="11" spans="1:6" ht="91.5">
      <c r="A11" s="80" t="s">
        <v>62</v>
      </c>
      <c r="B11" s="78">
        <v>679040</v>
      </c>
      <c r="C11" s="78">
        <v>679040</v>
      </c>
      <c r="D11" s="78">
        <v>715695</v>
      </c>
      <c r="E11" s="78">
        <f t="shared" si="1"/>
        <v>36655</v>
      </c>
      <c r="F11" s="79">
        <f t="shared" si="0"/>
        <v>0.053980619698397736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/>
      <c r="C23" s="83"/>
      <c r="D23" s="83"/>
      <c r="E23" s="83"/>
      <c r="F23" s="75"/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>IF(ISERROR(E24/C24),0,(E24/C24))</f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>IF(ISERROR(E25/C25),0,(E25/C25))</f>
        <v>0</v>
      </c>
    </row>
    <row r="26" spans="1:6" ht="91.5">
      <c r="A26" s="76" t="s">
        <v>52</v>
      </c>
      <c r="B26" s="83"/>
      <c r="C26" s="83"/>
      <c r="D26" s="83"/>
      <c r="E26" s="83"/>
      <c r="F26" s="75"/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>IF(ISERROR(E27/C27),0,(E27/C27))</f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>IF(ISERROR(E28/C28),0,(E28/C28))</f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>IF(ISERROR(E29/C29),0,(E29/C29))</f>
        <v>0</v>
      </c>
    </row>
    <row r="30" spans="1:6" ht="91.5">
      <c r="A30" s="76" t="s">
        <v>14</v>
      </c>
      <c r="B30" s="85">
        <f>B29+B28+B27+B25+B24+B9+B8</f>
        <v>15078676</v>
      </c>
      <c r="C30" s="86">
        <f>C29+C28+C27+C25+C24+C9+C8</f>
        <v>15078676</v>
      </c>
      <c r="D30" s="86">
        <f>D29+D28+D27+D25+D24+D9+D8</f>
        <v>18261837</v>
      </c>
      <c r="E30" s="86">
        <f>D30-C30</f>
        <v>3183161</v>
      </c>
      <c r="F30" s="87">
        <f>IF(ISERROR(E30/C30),0,(E30/C30))</f>
        <v>0.21110348149930405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>IF(ISERROR(E32/C32),0,(E32/C32))</f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>IF(ISERROR(E34/C34),0,(E34/C34))</f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11889292</v>
      </c>
      <c r="C36" s="74">
        <v>13564391</v>
      </c>
      <c r="D36" s="74">
        <v>13557666</v>
      </c>
      <c r="E36" s="74">
        <f>D36-C36</f>
        <v>-6725</v>
      </c>
      <c r="F36" s="75">
        <f>IF(ISERROR(E36/C36),0,(E36/C36))</f>
        <v>-0.0004957834081898701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>IF(ISERROR(E38/C38),0,(E38/C38))</f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26967968</v>
      </c>
      <c r="C40" s="120">
        <f>C38+C36+C34+C30</f>
        <v>28643067</v>
      </c>
      <c r="D40" s="120">
        <f>D38+D36+D34+D30</f>
        <v>31819503</v>
      </c>
      <c r="E40" s="120">
        <f>D40-C40</f>
        <v>3176436</v>
      </c>
      <c r="F40" s="121">
        <f>IF(ISERROR(E40/C40),0,(E40/C40))</f>
        <v>0.1108972024539132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12634012</v>
      </c>
      <c r="C42" s="78">
        <v>13995765</v>
      </c>
      <c r="D42" s="78">
        <v>15854500</v>
      </c>
      <c r="E42" s="78">
        <f aca="true" t="shared" si="2" ref="E42:E49">D42-C42</f>
        <v>1858735</v>
      </c>
      <c r="F42" s="92">
        <f aca="true" t="shared" si="3" ref="F42:F55">IF(ISERROR(E42/C42),0,(E42/C42))</f>
        <v>0.13280695981963114</v>
      </c>
    </row>
    <row r="43" spans="1:6" ht="91.5">
      <c r="A43" s="80" t="s">
        <v>20</v>
      </c>
      <c r="B43" s="78">
        <v>80593</v>
      </c>
      <c r="C43" s="78">
        <v>65443</v>
      </c>
      <c r="D43" s="78">
        <v>174463</v>
      </c>
      <c r="E43" s="78">
        <f t="shared" si="2"/>
        <v>109020</v>
      </c>
      <c r="F43" s="90">
        <f t="shared" si="3"/>
        <v>1.6658771755573551</v>
      </c>
    </row>
    <row r="44" spans="1:6" ht="91.5">
      <c r="A44" s="80" t="s">
        <v>21</v>
      </c>
      <c r="B44" s="78">
        <v>0</v>
      </c>
      <c r="C44" s="78">
        <v>0</v>
      </c>
      <c r="D44" s="78">
        <v>0</v>
      </c>
      <c r="E44" s="78">
        <f t="shared" si="2"/>
        <v>0</v>
      </c>
      <c r="F44" s="90">
        <f t="shared" si="3"/>
        <v>0</v>
      </c>
    </row>
    <row r="45" spans="1:6" ht="91.5">
      <c r="A45" s="80" t="s">
        <v>49</v>
      </c>
      <c r="B45" s="78">
        <v>3304519</v>
      </c>
      <c r="C45" s="78">
        <v>3421059</v>
      </c>
      <c r="D45" s="78">
        <v>3542756</v>
      </c>
      <c r="E45" s="78">
        <f t="shared" si="2"/>
        <v>121697</v>
      </c>
      <c r="F45" s="90">
        <f t="shared" si="3"/>
        <v>0.03557290301044209</v>
      </c>
    </row>
    <row r="46" spans="1:6" ht="91.5">
      <c r="A46" s="80" t="s">
        <v>22</v>
      </c>
      <c r="B46" s="78">
        <v>1712929</v>
      </c>
      <c r="C46" s="78">
        <v>1790367</v>
      </c>
      <c r="D46" s="78">
        <v>1827336</v>
      </c>
      <c r="E46" s="78">
        <f t="shared" si="2"/>
        <v>36969</v>
      </c>
      <c r="F46" s="90">
        <f t="shared" si="3"/>
        <v>0.020648839036912545</v>
      </c>
    </row>
    <row r="47" spans="1:6" ht="91.5">
      <c r="A47" s="80" t="s">
        <v>23</v>
      </c>
      <c r="B47" s="78">
        <v>5013298</v>
      </c>
      <c r="C47" s="78">
        <v>4594203</v>
      </c>
      <c r="D47" s="78">
        <v>4885059</v>
      </c>
      <c r="E47" s="78">
        <f t="shared" si="2"/>
        <v>290856</v>
      </c>
      <c r="F47" s="90">
        <f t="shared" si="3"/>
        <v>0.06330934875973047</v>
      </c>
    </row>
    <row r="48" spans="1:6" ht="91.5">
      <c r="A48" s="80" t="s">
        <v>24</v>
      </c>
      <c r="B48" s="78">
        <v>1314804</v>
      </c>
      <c r="C48" s="78">
        <v>1822881</v>
      </c>
      <c r="D48" s="78">
        <v>2150965</v>
      </c>
      <c r="E48" s="78">
        <f t="shared" si="2"/>
        <v>328084</v>
      </c>
      <c r="F48" s="90">
        <f t="shared" si="3"/>
        <v>0.17998103002883897</v>
      </c>
    </row>
    <row r="49" spans="1:6" ht="91.5">
      <c r="A49" s="80" t="s">
        <v>25</v>
      </c>
      <c r="B49" s="78">
        <v>2727813</v>
      </c>
      <c r="C49" s="78">
        <v>2763433</v>
      </c>
      <c r="D49" s="78">
        <v>3117611</v>
      </c>
      <c r="E49" s="78">
        <f t="shared" si="2"/>
        <v>354178</v>
      </c>
      <c r="F49" s="90">
        <f t="shared" si="3"/>
        <v>0.12816594431636302</v>
      </c>
    </row>
    <row r="50" spans="1:6" ht="91.5">
      <c r="A50" s="93" t="s">
        <v>26</v>
      </c>
      <c r="B50" s="83">
        <f>SUM(B42:B49)</f>
        <v>26787968</v>
      </c>
      <c r="C50" s="83">
        <f>SUM(C42:C49)</f>
        <v>28453151</v>
      </c>
      <c r="D50" s="83">
        <f>SUM(D42:D49)</f>
        <v>31552690</v>
      </c>
      <c r="E50" s="74"/>
      <c r="F50" s="87">
        <f t="shared" si="3"/>
        <v>0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>D51-C51</f>
        <v>0</v>
      </c>
      <c r="F51" s="90">
        <f t="shared" si="3"/>
        <v>0</v>
      </c>
    </row>
    <row r="52" spans="1:6" ht="91.5">
      <c r="A52" s="80" t="s">
        <v>28</v>
      </c>
      <c r="B52" s="78">
        <v>0</v>
      </c>
      <c r="C52" s="78">
        <v>89916</v>
      </c>
      <c r="D52" s="78">
        <v>86813</v>
      </c>
      <c r="E52" s="78">
        <f>D52-C52</f>
        <v>-3103</v>
      </c>
      <c r="F52" s="90">
        <f t="shared" si="3"/>
        <v>-0.034509987099070244</v>
      </c>
    </row>
    <row r="53" spans="1:6" ht="91.5">
      <c r="A53" s="80" t="s">
        <v>29</v>
      </c>
      <c r="B53" s="78">
        <v>180000</v>
      </c>
      <c r="C53" s="78">
        <v>100000</v>
      </c>
      <c r="D53" s="78">
        <v>180000</v>
      </c>
      <c r="E53" s="78">
        <f>D53-C53</f>
        <v>80000</v>
      </c>
      <c r="F53" s="90">
        <f t="shared" si="3"/>
        <v>0.8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>D54-C54</f>
        <v>0</v>
      </c>
      <c r="F54" s="90">
        <f t="shared" si="3"/>
        <v>0</v>
      </c>
    </row>
    <row r="55" spans="1:6" ht="91.5">
      <c r="A55" s="94" t="s">
        <v>31</v>
      </c>
      <c r="B55" s="85">
        <f>B54+B53+B52+B51+B50</f>
        <v>26967968</v>
      </c>
      <c r="C55" s="85">
        <f>C54+C53+C52+C51+C50</f>
        <v>28643067</v>
      </c>
      <c r="D55" s="85">
        <f>D54+D53+D52+D51+D50</f>
        <v>31819503</v>
      </c>
      <c r="E55" s="85">
        <f>D55-C55</f>
        <v>3176436</v>
      </c>
      <c r="F55" s="95">
        <f t="shared" si="3"/>
        <v>0.1108972024539132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15134406</v>
      </c>
      <c r="C57" s="78">
        <v>16383266</v>
      </c>
      <c r="D57" s="78">
        <v>17708006</v>
      </c>
      <c r="E57" s="78">
        <f aca="true" t="shared" si="4" ref="E57:E74">D57-C57</f>
        <v>1324740</v>
      </c>
      <c r="F57" s="92">
        <f aca="true" t="shared" si="5" ref="F57:F74">IF(ISERROR(E57/C57),0,(E57/C57))</f>
        <v>0.08085933537305687</v>
      </c>
    </row>
    <row r="58" spans="1:6" ht="91.5">
      <c r="A58" s="80" t="s">
        <v>34</v>
      </c>
      <c r="B58" s="78">
        <v>281177</v>
      </c>
      <c r="C58" s="78">
        <v>402484</v>
      </c>
      <c r="D58" s="78">
        <v>417984</v>
      </c>
      <c r="E58" s="78">
        <f t="shared" si="4"/>
        <v>15500</v>
      </c>
      <c r="F58" s="90">
        <f t="shared" si="5"/>
        <v>0.038510847636179325</v>
      </c>
    </row>
    <row r="59" spans="1:6" ht="91.5">
      <c r="A59" s="80" t="s">
        <v>35</v>
      </c>
      <c r="B59" s="78">
        <v>4688343</v>
      </c>
      <c r="C59" s="78">
        <v>5524409</v>
      </c>
      <c r="D59" s="78">
        <v>5834916</v>
      </c>
      <c r="E59" s="78">
        <f t="shared" si="4"/>
        <v>310507</v>
      </c>
      <c r="F59" s="90">
        <f t="shared" si="5"/>
        <v>0.05620637429270715</v>
      </c>
    </row>
    <row r="60" spans="1:6" ht="91.5">
      <c r="A60" s="93" t="s">
        <v>36</v>
      </c>
      <c r="B60" s="96">
        <f>SUM(B57:B59)</f>
        <v>20103926</v>
      </c>
      <c r="C60" s="96">
        <f>SUM(C57:C59)</f>
        <v>22310159</v>
      </c>
      <c r="D60" s="96">
        <f>SUM(D57:D59)</f>
        <v>23960906</v>
      </c>
      <c r="E60" s="96">
        <f t="shared" si="4"/>
        <v>1650747</v>
      </c>
      <c r="F60" s="97">
        <f t="shared" si="5"/>
        <v>0.07399082184936467</v>
      </c>
    </row>
    <row r="61" spans="1:6" ht="91.5">
      <c r="A61" s="80" t="s">
        <v>37</v>
      </c>
      <c r="B61" s="78">
        <v>264322</v>
      </c>
      <c r="C61" s="78">
        <v>193111</v>
      </c>
      <c r="D61" s="78">
        <v>193952</v>
      </c>
      <c r="E61" s="78">
        <f t="shared" si="4"/>
        <v>841</v>
      </c>
      <c r="F61" s="90">
        <f t="shared" si="5"/>
        <v>0.004355008259498423</v>
      </c>
    </row>
    <row r="62" spans="1:6" ht="91.5">
      <c r="A62" s="80" t="s">
        <v>38</v>
      </c>
      <c r="B62" s="78">
        <v>2217177</v>
      </c>
      <c r="C62" s="78">
        <v>2290932</v>
      </c>
      <c r="D62" s="78">
        <v>2800559</v>
      </c>
      <c r="E62" s="78">
        <f t="shared" si="4"/>
        <v>509627</v>
      </c>
      <c r="F62" s="90">
        <f t="shared" si="5"/>
        <v>0.22245400561867398</v>
      </c>
    </row>
    <row r="63" spans="1:6" ht="91.5">
      <c r="A63" s="80" t="s">
        <v>39</v>
      </c>
      <c r="B63" s="78">
        <v>824497</v>
      </c>
      <c r="C63" s="78">
        <v>590668</v>
      </c>
      <c r="D63" s="78">
        <v>1057744</v>
      </c>
      <c r="E63" s="78">
        <f t="shared" si="4"/>
        <v>467076</v>
      </c>
      <c r="F63" s="90">
        <f t="shared" si="5"/>
        <v>0.7907589373387419</v>
      </c>
    </row>
    <row r="64" spans="1:6" ht="91.5">
      <c r="A64" s="76" t="s">
        <v>40</v>
      </c>
      <c r="B64" s="83">
        <f>SUM(B61:B63)</f>
        <v>3305996</v>
      </c>
      <c r="C64" s="83">
        <f>SUM(C61:C63)</f>
        <v>3074711</v>
      </c>
      <c r="D64" s="83">
        <f>SUM(D61:D63)</f>
        <v>4052255</v>
      </c>
      <c r="E64" s="83">
        <f t="shared" si="4"/>
        <v>977544</v>
      </c>
      <c r="F64" s="87">
        <f t="shared" si="5"/>
        <v>0.317930368089879</v>
      </c>
    </row>
    <row r="65" spans="1:6" ht="91.5">
      <c r="A65" s="80" t="s">
        <v>41</v>
      </c>
      <c r="B65" s="78">
        <v>364492</v>
      </c>
      <c r="C65" s="78">
        <v>91227</v>
      </c>
      <c r="D65" s="78">
        <v>205699</v>
      </c>
      <c r="E65" s="78">
        <f t="shared" si="4"/>
        <v>114472</v>
      </c>
      <c r="F65" s="90">
        <f t="shared" si="5"/>
        <v>1.254803950584805</v>
      </c>
    </row>
    <row r="66" spans="1:6" ht="91.5">
      <c r="A66" s="80" t="s">
        <v>42</v>
      </c>
      <c r="B66" s="78">
        <v>1914550</v>
      </c>
      <c r="C66" s="78">
        <v>2071681</v>
      </c>
      <c r="D66" s="78">
        <v>2659789</v>
      </c>
      <c r="E66" s="78">
        <f t="shared" si="4"/>
        <v>588108</v>
      </c>
      <c r="F66" s="90">
        <f t="shared" si="5"/>
        <v>0.28387961273960616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4"/>
        <v>0</v>
      </c>
      <c r="F67" s="90">
        <f t="shared" si="5"/>
        <v>0</v>
      </c>
    </row>
    <row r="68" spans="1:6" ht="91.5">
      <c r="A68" s="80" t="s">
        <v>44</v>
      </c>
      <c r="B68" s="78">
        <v>441065</v>
      </c>
      <c r="C68" s="78">
        <v>837387</v>
      </c>
      <c r="D68" s="78">
        <v>682952</v>
      </c>
      <c r="E68" s="78">
        <f t="shared" si="4"/>
        <v>-154435</v>
      </c>
      <c r="F68" s="90">
        <f t="shared" si="5"/>
        <v>-0.1844248835962345</v>
      </c>
    </row>
    <row r="69" spans="1:6" ht="91.5">
      <c r="A69" s="76" t="s">
        <v>45</v>
      </c>
      <c r="B69" s="85">
        <f>SUM(B65:B68)</f>
        <v>2720107</v>
      </c>
      <c r="C69" s="85">
        <f>SUM(C65:C68)</f>
        <v>3000295</v>
      </c>
      <c r="D69" s="85">
        <f>SUM(D65:D68)</f>
        <v>3548440</v>
      </c>
      <c r="E69" s="85">
        <f t="shared" si="4"/>
        <v>548145</v>
      </c>
      <c r="F69" s="87">
        <f t="shared" si="5"/>
        <v>0.18269703479157884</v>
      </c>
    </row>
    <row r="70" spans="1:6" ht="91.5">
      <c r="A70" s="80" t="s">
        <v>57</v>
      </c>
      <c r="B70" s="78">
        <v>512419</v>
      </c>
      <c r="C70" s="78">
        <v>0</v>
      </c>
      <c r="D70" s="78">
        <v>0</v>
      </c>
      <c r="E70" s="78">
        <f t="shared" si="4"/>
        <v>0</v>
      </c>
      <c r="F70" s="90">
        <f t="shared" si="5"/>
        <v>0</v>
      </c>
    </row>
    <row r="71" spans="1:6" ht="91.5">
      <c r="A71" s="80" t="s">
        <v>46</v>
      </c>
      <c r="B71" s="78">
        <v>325520</v>
      </c>
      <c r="C71" s="78">
        <v>257902</v>
      </c>
      <c r="D71" s="78">
        <v>257902</v>
      </c>
      <c r="E71" s="78">
        <f t="shared" si="4"/>
        <v>0</v>
      </c>
      <c r="F71" s="90">
        <f t="shared" si="5"/>
        <v>0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4"/>
        <v>0</v>
      </c>
      <c r="F72" s="90">
        <f t="shared" si="5"/>
        <v>0</v>
      </c>
    </row>
    <row r="73" spans="1:6" ht="91.5">
      <c r="A73" s="99" t="s">
        <v>48</v>
      </c>
      <c r="B73" s="85">
        <f>SUM(B70:B72)</f>
        <v>837939</v>
      </c>
      <c r="C73" s="85">
        <f>SUM(C70:C72)</f>
        <v>257902</v>
      </c>
      <c r="D73" s="85">
        <f>SUM(D70:D72)</f>
        <v>257902</v>
      </c>
      <c r="E73" s="85">
        <f t="shared" si="4"/>
        <v>0</v>
      </c>
      <c r="F73" s="95">
        <f t="shared" si="5"/>
        <v>0</v>
      </c>
    </row>
    <row r="74" spans="1:6" ht="91.5">
      <c r="A74" s="94" t="s">
        <v>31</v>
      </c>
      <c r="B74" s="85">
        <f>B73+B69+B64+B60</f>
        <v>26967968</v>
      </c>
      <c r="C74" s="85">
        <f>C73+C69+C64+C60</f>
        <v>28643067</v>
      </c>
      <c r="D74" s="85">
        <f>D73+D69+D64+D60</f>
        <v>31819503</v>
      </c>
      <c r="E74" s="85">
        <f t="shared" si="4"/>
        <v>3176436</v>
      </c>
      <c r="F74" s="95">
        <f t="shared" si="5"/>
        <v>0.1108972024539132</v>
      </c>
    </row>
    <row r="75" ht="91.5">
      <c r="A75" s="56" t="s">
        <v>186</v>
      </c>
    </row>
    <row r="76" ht="91.5">
      <c r="F76" s="100"/>
    </row>
    <row r="77" spans="1:6" ht="91.5">
      <c r="A77" s="56" t="s">
        <v>0</v>
      </c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="35" zoomScaleNormal="35" zoomScalePageLayoutView="0" workbookViewId="0" topLeftCell="B7">
      <selection activeCell="A78" sqref="A78"/>
    </sheetView>
  </sheetViews>
  <sheetFormatPr defaultColWidth="9.6640625" defaultRowHeight="15"/>
  <cols>
    <col min="1" max="1" width="255.77734375" style="56" bestFit="1" customWidth="1"/>
    <col min="2" max="4" width="67.77734375" style="51" bestFit="1" customWidth="1"/>
    <col min="5" max="5" width="70.88671875" style="51" bestFit="1" customWidth="1"/>
    <col min="6" max="6" width="47.10546875" style="57" bestFit="1" customWidth="1"/>
    <col min="7" max="16384" width="9.6640625" style="56" customWidth="1"/>
  </cols>
  <sheetData>
    <row r="1" spans="1:6" ht="91.5">
      <c r="A1" s="50" t="s">
        <v>3</v>
      </c>
      <c r="C1" s="52"/>
      <c r="D1" s="102"/>
      <c r="E1" s="50" t="s">
        <v>6</v>
      </c>
      <c r="F1" s="123" t="s">
        <v>82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62430019</v>
      </c>
      <c r="C8" s="74">
        <v>62430019</v>
      </c>
      <c r="D8" s="74">
        <v>65719650</v>
      </c>
      <c r="E8" s="74">
        <f>D8-C8</f>
        <v>3289631</v>
      </c>
      <c r="F8" s="75">
        <f aca="true" t="shared" si="0" ref="F8:F23">IF(ISERROR(E8/C8),0,(E8/C8))</f>
        <v>0.05269309624909773</v>
      </c>
    </row>
    <row r="9" spans="1:6" ht="91.5">
      <c r="A9" s="76" t="s">
        <v>60</v>
      </c>
      <c r="B9" s="74">
        <f>SUM(B10:B22)</f>
        <v>3239412</v>
      </c>
      <c r="C9" s="74">
        <f>SUM(C10:C22)</f>
        <v>3239412</v>
      </c>
      <c r="D9" s="74">
        <f>SUM(D10:D22)</f>
        <v>8080176</v>
      </c>
      <c r="E9" s="74">
        <f>SUM(E10:E21)</f>
        <v>4840764</v>
      </c>
      <c r="F9" s="75">
        <f t="shared" si="0"/>
        <v>1.4943341569395927</v>
      </c>
    </row>
    <row r="10" spans="1:6" ht="91.5">
      <c r="A10" s="77" t="s">
        <v>61</v>
      </c>
      <c r="B10" s="78">
        <v>485741</v>
      </c>
      <c r="C10" s="78">
        <v>485741</v>
      </c>
      <c r="D10" s="78">
        <v>5182530</v>
      </c>
      <c r="E10" s="78">
        <f aca="true" t="shared" si="1" ref="E10:E22">D10-C10</f>
        <v>4696789</v>
      </c>
      <c r="F10" s="79">
        <f t="shared" si="0"/>
        <v>9.669327892848246</v>
      </c>
    </row>
    <row r="11" spans="1:6" ht="91.5">
      <c r="A11" s="80" t="s">
        <v>62</v>
      </c>
      <c r="B11" s="78">
        <v>2753671</v>
      </c>
      <c r="C11" s="78">
        <v>2753671</v>
      </c>
      <c r="D11" s="78">
        <v>2897646</v>
      </c>
      <c r="E11" s="78">
        <f t="shared" si="1"/>
        <v>143975</v>
      </c>
      <c r="F11" s="79">
        <f t="shared" si="0"/>
        <v>0.05228475006636595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 aca="true" t="shared" si="2" ref="F24:F30">IF(ISERROR(E24/C24),0,(E24/C24))</f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2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2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2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2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 t="shared" si="2"/>
        <v>0</v>
      </c>
    </row>
    <row r="30" spans="1:6" ht="91.5">
      <c r="A30" s="76" t="s">
        <v>14</v>
      </c>
      <c r="B30" s="85">
        <f>B29+B28+B27+B25+B24+B9+B8</f>
        <v>65669431</v>
      </c>
      <c r="C30" s="86">
        <f>C29+C28+C27+C25+C24+C9+C8</f>
        <v>65669431</v>
      </c>
      <c r="D30" s="86">
        <f>D29+D28+D27+D25+D24+D9+D8</f>
        <v>73799826</v>
      </c>
      <c r="E30" s="86">
        <f>D30-C30</f>
        <v>8130395</v>
      </c>
      <c r="F30" s="87">
        <f t="shared" si="2"/>
        <v>0.12380790995432868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>IF(ISERROR(E32/C32),0,(E32/C32))</f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>IF(ISERROR(E34/C34),0,(E34/C34))</f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44564564</v>
      </c>
      <c r="C36" s="74">
        <v>61410941</v>
      </c>
      <c r="D36" s="74">
        <v>49638013</v>
      </c>
      <c r="E36" s="74">
        <f>D36-C36</f>
        <v>-11772928</v>
      </c>
      <c r="F36" s="75">
        <f>IF(ISERROR(E36/C36),0,(E36/C36))</f>
        <v>-0.19170733762246048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>IF(ISERROR(E38/C38),0,(E38/C38))</f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110233995</v>
      </c>
      <c r="C40" s="120">
        <f>C38+C36+C34+C30</f>
        <v>127080372</v>
      </c>
      <c r="D40" s="120">
        <f>D38+D36+D34+D30</f>
        <v>123437839</v>
      </c>
      <c r="E40" s="120">
        <f>D40-C40</f>
        <v>-3642533</v>
      </c>
      <c r="F40" s="121">
        <f>IF(ISERROR(E40/C40),0,(E40/C40))</f>
        <v>-0.028663222672971087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45122235</v>
      </c>
      <c r="C42" s="78">
        <v>60366522</v>
      </c>
      <c r="D42" s="78">
        <v>54886536</v>
      </c>
      <c r="E42" s="78">
        <f aca="true" t="shared" si="3" ref="E42:E49">D42-C42</f>
        <v>-5479986</v>
      </c>
      <c r="F42" s="92">
        <f aca="true" t="shared" si="4" ref="F42:F55">IF(ISERROR(E42/C42),0,(E42/C42))</f>
        <v>-0.09077856100439247</v>
      </c>
    </row>
    <row r="43" spans="1:6" ht="91.5">
      <c r="A43" s="80" t="s">
        <v>20</v>
      </c>
      <c r="B43" s="78">
        <v>2368106</v>
      </c>
      <c r="C43" s="78">
        <v>1713092</v>
      </c>
      <c r="D43" s="78">
        <v>2019573</v>
      </c>
      <c r="E43" s="78">
        <f t="shared" si="3"/>
        <v>306481</v>
      </c>
      <c r="F43" s="90">
        <f t="shared" si="4"/>
        <v>0.17890516096041545</v>
      </c>
    </row>
    <row r="44" spans="1:6" ht="91.5">
      <c r="A44" s="80" t="s">
        <v>21</v>
      </c>
      <c r="B44" s="78">
        <v>1352142</v>
      </c>
      <c r="C44" s="78">
        <v>1747638</v>
      </c>
      <c r="D44" s="78">
        <v>1883467</v>
      </c>
      <c r="E44" s="78">
        <f t="shared" si="3"/>
        <v>135829</v>
      </c>
      <c r="F44" s="90">
        <f t="shared" si="4"/>
        <v>0.07772147321127144</v>
      </c>
    </row>
    <row r="45" spans="1:6" ht="91.5">
      <c r="A45" s="80" t="s">
        <v>49</v>
      </c>
      <c r="B45" s="78">
        <v>12377125</v>
      </c>
      <c r="C45" s="78">
        <v>14948655</v>
      </c>
      <c r="D45" s="78">
        <v>15160873</v>
      </c>
      <c r="E45" s="78">
        <f t="shared" si="3"/>
        <v>212218</v>
      </c>
      <c r="F45" s="90">
        <f t="shared" si="4"/>
        <v>0.01419646115319405</v>
      </c>
    </row>
    <row r="46" spans="1:6" ht="91.5">
      <c r="A46" s="80" t="s">
        <v>22</v>
      </c>
      <c r="B46" s="78">
        <v>4261870</v>
      </c>
      <c r="C46" s="78">
        <v>5430783</v>
      </c>
      <c r="D46" s="78">
        <v>5615061</v>
      </c>
      <c r="E46" s="78">
        <f t="shared" si="3"/>
        <v>184278</v>
      </c>
      <c r="F46" s="90">
        <f t="shared" si="4"/>
        <v>0.033932123599856596</v>
      </c>
    </row>
    <row r="47" spans="1:6" ht="91.5">
      <c r="A47" s="80" t="s">
        <v>23</v>
      </c>
      <c r="B47" s="78">
        <f>18484578+4560627</f>
        <v>23045205</v>
      </c>
      <c r="C47" s="78">
        <v>19088487</v>
      </c>
      <c r="D47" s="78">
        <v>21641458</v>
      </c>
      <c r="E47" s="78">
        <f t="shared" si="3"/>
        <v>2552971</v>
      </c>
      <c r="F47" s="90">
        <f t="shared" si="4"/>
        <v>0.13374402067591842</v>
      </c>
    </row>
    <row r="48" spans="1:6" ht="91.5">
      <c r="A48" s="80" t="s">
        <v>24</v>
      </c>
      <c r="B48" s="78">
        <v>6623166</v>
      </c>
      <c r="C48" s="78">
        <v>9068135</v>
      </c>
      <c r="D48" s="78">
        <v>8051043</v>
      </c>
      <c r="E48" s="78">
        <f t="shared" si="3"/>
        <v>-1017092</v>
      </c>
      <c r="F48" s="90">
        <f t="shared" si="4"/>
        <v>-0.11216110038061851</v>
      </c>
    </row>
    <row r="49" spans="1:6" ht="91.5">
      <c r="A49" s="80" t="s">
        <v>25</v>
      </c>
      <c r="B49" s="78">
        <v>15084146</v>
      </c>
      <c r="C49" s="78">
        <v>14717060</v>
      </c>
      <c r="D49" s="78">
        <v>14179828</v>
      </c>
      <c r="E49" s="78">
        <f t="shared" si="3"/>
        <v>-537232</v>
      </c>
      <c r="F49" s="90">
        <f t="shared" si="4"/>
        <v>-0.03650403001686478</v>
      </c>
    </row>
    <row r="50" spans="1:6" ht="91.5">
      <c r="A50" s="93" t="s">
        <v>26</v>
      </c>
      <c r="B50" s="83">
        <f>SUM(B42:B49)</f>
        <v>110233995</v>
      </c>
      <c r="C50" s="83">
        <f>SUM(C42:C49)</f>
        <v>127080372</v>
      </c>
      <c r="D50" s="83">
        <f>SUM(D42:D49)</f>
        <v>123437839</v>
      </c>
      <c r="E50" s="74"/>
      <c r="F50" s="87">
        <f t="shared" si="4"/>
        <v>0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>D51-C51</f>
        <v>0</v>
      </c>
      <c r="F51" s="90">
        <f t="shared" si="4"/>
        <v>0</v>
      </c>
    </row>
    <row r="52" spans="1:6" ht="91.5">
      <c r="A52" s="80" t="s">
        <v>28</v>
      </c>
      <c r="B52" s="78">
        <v>0</v>
      </c>
      <c r="C52" s="78">
        <v>0</v>
      </c>
      <c r="D52" s="78">
        <v>0</v>
      </c>
      <c r="E52" s="78">
        <f>D52-C52</f>
        <v>0</v>
      </c>
      <c r="F52" s="90">
        <f t="shared" si="4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f t="shared" si="4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>D54-C54</f>
        <v>0</v>
      </c>
      <c r="F54" s="90">
        <f t="shared" si="4"/>
        <v>0</v>
      </c>
    </row>
    <row r="55" spans="1:6" ht="91.5">
      <c r="A55" s="94" t="s">
        <v>31</v>
      </c>
      <c r="B55" s="85">
        <f>B54+B53+B52+B51+B50</f>
        <v>110233995</v>
      </c>
      <c r="C55" s="85">
        <f>C54+C53+C52+C51+C50</f>
        <v>127080372</v>
      </c>
      <c r="D55" s="85">
        <f>D54+D53+D52+D51+D50</f>
        <v>123437839</v>
      </c>
      <c r="E55" s="85">
        <f>D55-C55</f>
        <v>-3642533</v>
      </c>
      <c r="F55" s="95">
        <f t="shared" si="4"/>
        <v>-0.028663222672971087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52047877</v>
      </c>
      <c r="C57" s="78">
        <v>62480998</v>
      </c>
      <c r="D57" s="78">
        <v>64464496</v>
      </c>
      <c r="E57" s="78">
        <f aca="true" t="shared" si="5" ref="E57:E74">D57-C57</f>
        <v>1983498</v>
      </c>
      <c r="F57" s="92">
        <f aca="true" t="shared" si="6" ref="F57:F74">IF(ISERROR(E57/C57),0,(E57/C57))</f>
        <v>0.03174561968424384</v>
      </c>
    </row>
    <row r="58" spans="1:6" ht="91.5">
      <c r="A58" s="80" t="s">
        <v>34</v>
      </c>
      <c r="B58" s="78">
        <v>3787081</v>
      </c>
      <c r="C58" s="78">
        <v>4372481</v>
      </c>
      <c r="D58" s="78">
        <v>4082875</v>
      </c>
      <c r="E58" s="78">
        <f t="shared" si="5"/>
        <v>-289606</v>
      </c>
      <c r="F58" s="90">
        <f t="shared" si="6"/>
        <v>-0.06623379266828146</v>
      </c>
    </row>
    <row r="59" spans="1:6" ht="91.5">
      <c r="A59" s="80" t="s">
        <v>35</v>
      </c>
      <c r="B59" s="78">
        <v>15780545</v>
      </c>
      <c r="C59" s="78">
        <v>17961426</v>
      </c>
      <c r="D59" s="78">
        <v>18311707</v>
      </c>
      <c r="E59" s="78">
        <f t="shared" si="5"/>
        <v>350281</v>
      </c>
      <c r="F59" s="90">
        <f t="shared" si="6"/>
        <v>0.01950184801585353</v>
      </c>
    </row>
    <row r="60" spans="1:6" ht="91.5">
      <c r="A60" s="93" t="s">
        <v>36</v>
      </c>
      <c r="B60" s="96">
        <f>SUM(B57:B59)</f>
        <v>71615503</v>
      </c>
      <c r="C60" s="96">
        <f>SUM(C57:C59)</f>
        <v>84814905</v>
      </c>
      <c r="D60" s="96">
        <f>SUM(D57:D59)</f>
        <v>86859078</v>
      </c>
      <c r="E60" s="96">
        <f t="shared" si="5"/>
        <v>2044173</v>
      </c>
      <c r="F60" s="97">
        <f t="shared" si="6"/>
        <v>0.024101577429108716</v>
      </c>
    </row>
    <row r="61" spans="1:6" ht="91.5">
      <c r="A61" s="80" t="s">
        <v>37</v>
      </c>
      <c r="B61" s="78">
        <v>616095</v>
      </c>
      <c r="C61" s="78">
        <v>687701</v>
      </c>
      <c r="D61" s="78">
        <v>709171</v>
      </c>
      <c r="E61" s="78">
        <f t="shared" si="5"/>
        <v>21470</v>
      </c>
      <c r="F61" s="90">
        <f t="shared" si="6"/>
        <v>0.031219963327085463</v>
      </c>
    </row>
    <row r="62" spans="1:6" ht="91.5">
      <c r="A62" s="80" t="s">
        <v>38</v>
      </c>
      <c r="B62" s="78">
        <v>13740641</v>
      </c>
      <c r="C62" s="78">
        <v>13991884</v>
      </c>
      <c r="D62" s="78">
        <v>12966408</v>
      </c>
      <c r="E62" s="78">
        <f t="shared" si="5"/>
        <v>-1025476</v>
      </c>
      <c r="F62" s="90">
        <f t="shared" si="6"/>
        <v>-0.07329077342264988</v>
      </c>
    </row>
    <row r="63" spans="1:6" ht="91.5">
      <c r="A63" s="80" t="s">
        <v>39</v>
      </c>
      <c r="B63" s="78">
        <v>2415802</v>
      </c>
      <c r="C63" s="78">
        <v>3225513</v>
      </c>
      <c r="D63" s="78">
        <v>2980448</v>
      </c>
      <c r="E63" s="78">
        <f t="shared" si="5"/>
        <v>-245065</v>
      </c>
      <c r="F63" s="90">
        <f t="shared" si="6"/>
        <v>-0.07597706163329677</v>
      </c>
    </row>
    <row r="64" spans="1:6" ht="91.5">
      <c r="A64" s="76" t="s">
        <v>40</v>
      </c>
      <c r="B64" s="83">
        <f>SUM(B61:B63)</f>
        <v>16772538</v>
      </c>
      <c r="C64" s="83">
        <f>SUM(C61:C63)</f>
        <v>17905098</v>
      </c>
      <c r="D64" s="83">
        <f>SUM(D61:D63)</f>
        <v>16656027</v>
      </c>
      <c r="E64" s="83">
        <f t="shared" si="5"/>
        <v>-1249071</v>
      </c>
      <c r="F64" s="87">
        <f t="shared" si="6"/>
        <v>-0.0697606346527676</v>
      </c>
    </row>
    <row r="65" spans="1:6" ht="91.5">
      <c r="A65" s="80" t="s">
        <v>41</v>
      </c>
      <c r="B65" s="78">
        <v>1709155</v>
      </c>
      <c r="C65" s="78">
        <v>1855097</v>
      </c>
      <c r="D65" s="78">
        <v>2248286</v>
      </c>
      <c r="E65" s="78">
        <f t="shared" si="5"/>
        <v>393189</v>
      </c>
      <c r="F65" s="90">
        <f t="shared" si="6"/>
        <v>0.21195064193408755</v>
      </c>
    </row>
    <row r="66" spans="1:6" ht="91.5">
      <c r="A66" s="80" t="s">
        <v>42</v>
      </c>
      <c r="B66" s="78">
        <f>12070472</f>
        <v>12070472</v>
      </c>
      <c r="C66" s="78">
        <v>18482142</v>
      </c>
      <c r="D66" s="78">
        <v>14155433</v>
      </c>
      <c r="E66" s="78">
        <f t="shared" si="5"/>
        <v>-4326709</v>
      </c>
      <c r="F66" s="90">
        <f t="shared" si="6"/>
        <v>-0.23410214032550988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5"/>
        <v>0</v>
      </c>
      <c r="F67" s="90">
        <f t="shared" si="6"/>
        <v>0</v>
      </c>
    </row>
    <row r="68" spans="1:6" ht="91.5">
      <c r="A68" s="80" t="s">
        <v>44</v>
      </c>
      <c r="B68" s="78">
        <v>4560627</v>
      </c>
      <c r="C68" s="78">
        <v>0</v>
      </c>
      <c r="D68" s="78">
        <v>0</v>
      </c>
      <c r="E68" s="78">
        <f t="shared" si="5"/>
        <v>0</v>
      </c>
      <c r="F68" s="90">
        <f t="shared" si="6"/>
        <v>0</v>
      </c>
    </row>
    <row r="69" spans="1:6" ht="91.5">
      <c r="A69" s="76" t="s">
        <v>45</v>
      </c>
      <c r="B69" s="85">
        <f>SUM(B65:B68)</f>
        <v>18340254</v>
      </c>
      <c r="C69" s="85">
        <f>SUM(C65:C68)</f>
        <v>20337239</v>
      </c>
      <c r="D69" s="85">
        <f>SUM(D65:D68)</f>
        <v>16403719</v>
      </c>
      <c r="E69" s="85">
        <f t="shared" si="5"/>
        <v>-3933520</v>
      </c>
      <c r="F69" s="87">
        <f t="shared" si="6"/>
        <v>-0.19341465181188067</v>
      </c>
    </row>
    <row r="70" spans="1:6" ht="91.5">
      <c r="A70" s="80" t="s">
        <v>57</v>
      </c>
      <c r="B70" s="78">
        <v>2131968</v>
      </c>
      <c r="C70" s="78">
        <v>2097782</v>
      </c>
      <c r="D70" s="78">
        <v>1643667</v>
      </c>
      <c r="E70" s="78">
        <f t="shared" si="5"/>
        <v>-454115</v>
      </c>
      <c r="F70" s="90">
        <f t="shared" si="6"/>
        <v>-0.21647387574113994</v>
      </c>
    </row>
    <row r="71" spans="1:6" ht="91.5">
      <c r="A71" s="80" t="s">
        <v>46</v>
      </c>
      <c r="B71" s="78">
        <v>1373732</v>
      </c>
      <c r="C71" s="78">
        <v>1925348</v>
      </c>
      <c r="D71" s="78">
        <v>1875348</v>
      </c>
      <c r="E71" s="78">
        <f t="shared" si="5"/>
        <v>-50000</v>
      </c>
      <c r="F71" s="90">
        <f t="shared" si="6"/>
        <v>-0.025969331258556893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5"/>
        <v>0</v>
      </c>
      <c r="F72" s="90">
        <f t="shared" si="6"/>
        <v>0</v>
      </c>
    </row>
    <row r="73" spans="1:6" ht="91.5">
      <c r="A73" s="99" t="s">
        <v>48</v>
      </c>
      <c r="B73" s="85">
        <f>SUM(B70:B72)</f>
        <v>3505700</v>
      </c>
      <c r="C73" s="85">
        <f>SUM(C70:C72)</f>
        <v>4023130</v>
      </c>
      <c r="D73" s="85">
        <f>SUM(D70:D72)</f>
        <v>3519015</v>
      </c>
      <c r="E73" s="85">
        <f t="shared" si="5"/>
        <v>-504115</v>
      </c>
      <c r="F73" s="95">
        <f t="shared" si="6"/>
        <v>-0.12530417858731882</v>
      </c>
    </row>
    <row r="74" spans="1:6" ht="91.5">
      <c r="A74" s="94" t="s">
        <v>31</v>
      </c>
      <c r="B74" s="85">
        <f>B73+B69+B64+B60</f>
        <v>110233995</v>
      </c>
      <c r="C74" s="85">
        <f>C73+C69+C64+C60</f>
        <v>127080372</v>
      </c>
      <c r="D74" s="85">
        <f>D73+D69+D64+D60</f>
        <v>123437839</v>
      </c>
      <c r="E74" s="85">
        <f t="shared" si="5"/>
        <v>-3642533</v>
      </c>
      <c r="F74" s="95">
        <f t="shared" si="6"/>
        <v>-0.028663222672971087</v>
      </c>
    </row>
    <row r="75" ht="91.5">
      <c r="A75" s="56" t="s">
        <v>186</v>
      </c>
    </row>
    <row r="76" ht="91.5">
      <c r="F76" s="100"/>
    </row>
    <row r="77" spans="1:6" ht="91.5">
      <c r="A77" s="56" t="s">
        <v>0</v>
      </c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5" zoomScaleNormal="35" zoomScalePageLayoutView="0" workbookViewId="0" topLeftCell="A34">
      <selection activeCell="A75" sqref="A75"/>
    </sheetView>
  </sheetViews>
  <sheetFormatPr defaultColWidth="87.4453125" defaultRowHeight="15"/>
  <cols>
    <col min="1" max="1" width="255.77734375" style="56" bestFit="1" customWidth="1"/>
    <col min="2" max="2" width="67.77734375" style="51" bestFit="1" customWidth="1"/>
    <col min="3" max="3" width="75.4453125" style="51" customWidth="1"/>
    <col min="4" max="4" width="67.77734375" style="51" bestFit="1" customWidth="1"/>
    <col min="5" max="5" width="70.88671875" style="51" bestFit="1" customWidth="1"/>
    <col min="6" max="6" width="48.99609375" style="57" bestFit="1" customWidth="1"/>
    <col min="7" max="16384" width="87.4453125" style="56" customWidth="1"/>
  </cols>
  <sheetData>
    <row r="1" spans="1:6" ht="91.5">
      <c r="A1" s="50" t="s">
        <v>3</v>
      </c>
      <c r="B1" s="102" t="s">
        <v>6</v>
      </c>
      <c r="C1" s="55" t="s">
        <v>172</v>
      </c>
      <c r="D1" s="102"/>
      <c r="E1" s="50"/>
      <c r="F1" s="123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68937505</v>
      </c>
      <c r="C8" s="74">
        <v>68937505</v>
      </c>
      <c r="D8" s="74">
        <v>83645518</v>
      </c>
      <c r="E8" s="74">
        <f>D8-C8</f>
        <v>14708013</v>
      </c>
      <c r="F8" s="75">
        <f aca="true" t="shared" si="0" ref="F8:F23">IF(ISERROR(E8/C8),0,(E8/C8))</f>
        <v>0.21335284762626672</v>
      </c>
    </row>
    <row r="9" spans="1:6" ht="91.5">
      <c r="A9" s="76" t="s">
        <v>60</v>
      </c>
      <c r="B9" s="74">
        <f>SUM(B10:B22)</f>
        <v>14302059</v>
      </c>
      <c r="C9" s="74">
        <f>SUM(C10:C22)</f>
        <v>14302059</v>
      </c>
      <c r="D9" s="74">
        <f>SUM(D10:D22)</f>
        <v>9914533</v>
      </c>
      <c r="E9" s="74">
        <f>SUM(E10:E21)</f>
        <v>-4387526</v>
      </c>
      <c r="F9" s="75">
        <f t="shared" si="0"/>
        <v>-0.3067758285712568</v>
      </c>
    </row>
    <row r="10" spans="1:6" ht="91.5">
      <c r="A10" s="77" t="s">
        <v>61</v>
      </c>
      <c r="B10" s="78">
        <f>4000000+255603</f>
        <v>4255603</v>
      </c>
      <c r="C10" s="78">
        <v>4255603</v>
      </c>
      <c r="D10" s="78">
        <v>0</v>
      </c>
      <c r="E10" s="78">
        <f aca="true" t="shared" si="1" ref="E10:E22">D10-C10</f>
        <v>-4255603</v>
      </c>
      <c r="F10" s="79">
        <f t="shared" si="0"/>
        <v>-1</v>
      </c>
    </row>
    <row r="11" spans="1:6" ht="91.5">
      <c r="A11" s="80" t="s">
        <v>62</v>
      </c>
      <c r="B11" s="78">
        <v>2886404</v>
      </c>
      <c r="C11" s="78">
        <v>2886404</v>
      </c>
      <c r="D11" s="78">
        <v>3044084</v>
      </c>
      <c r="E11" s="78">
        <f t="shared" si="1"/>
        <v>157680</v>
      </c>
      <c r="F11" s="79">
        <f t="shared" si="0"/>
        <v>0.05462852739949085</v>
      </c>
    </row>
    <row r="12" spans="1:6" ht="91.5">
      <c r="A12" s="80" t="s">
        <v>65</v>
      </c>
      <c r="B12" s="78">
        <v>7160052</v>
      </c>
      <c r="C12" s="78">
        <v>7160052</v>
      </c>
      <c r="D12" s="78">
        <v>6870449</v>
      </c>
      <c r="E12" s="78">
        <f t="shared" si="1"/>
        <v>-289603</v>
      </c>
      <c r="F12" s="79">
        <f t="shared" si="0"/>
        <v>-0.04044705261917092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 aca="true" t="shared" si="2" ref="F24:F30">IF(ISERROR(E24/C24),0,(E24/C24))</f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2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2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2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2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 t="shared" si="2"/>
        <v>0</v>
      </c>
    </row>
    <row r="30" spans="1:6" ht="91.5">
      <c r="A30" s="76" t="s">
        <v>14</v>
      </c>
      <c r="B30" s="85">
        <f>B29+B28+B27+B25+B24+B9+B8</f>
        <v>83239564</v>
      </c>
      <c r="C30" s="86">
        <f>C29+C28+C27+C25+C24+C9+C8</f>
        <v>83239564</v>
      </c>
      <c r="D30" s="86">
        <f>D29+D28+D27+D25+D24+D9+D8</f>
        <v>93560051</v>
      </c>
      <c r="E30" s="86">
        <f>D30-C30</f>
        <v>10320487</v>
      </c>
      <c r="F30" s="87">
        <f t="shared" si="2"/>
        <v>0.1239853562904294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>IF(ISERROR(E32/C32),0,(E32/C32))</f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283089242</v>
      </c>
      <c r="C34" s="74">
        <v>285840106</v>
      </c>
      <c r="D34" s="74">
        <v>352887841</v>
      </c>
      <c r="E34" s="74">
        <f>D34-C34</f>
        <v>67047735</v>
      </c>
      <c r="F34" s="75">
        <f>IF(ISERROR(E34/C34),0,(E34/C34))</f>
        <v>0.23456377741477608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43863004</v>
      </c>
      <c r="C36" s="74">
        <v>44871796</v>
      </c>
      <c r="D36" s="74">
        <v>47635622</v>
      </c>
      <c r="E36" s="74">
        <f>D36-C36</f>
        <v>2763826</v>
      </c>
      <c r="F36" s="75">
        <f>IF(ISERROR(E36/C36),0,(E36/C36))</f>
        <v>0.06159383502278357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52880135</v>
      </c>
      <c r="C38" s="74">
        <v>52940663</v>
      </c>
      <c r="D38" s="74">
        <v>56022723</v>
      </c>
      <c r="E38" s="74">
        <f>D38-C38</f>
        <v>3082060</v>
      </c>
      <c r="F38" s="75">
        <f>IF(ISERROR(E38/C38),0,(E38/C38))</f>
        <v>0.058217253531562305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463071945</v>
      </c>
      <c r="C40" s="120">
        <f>C38+C36+C34+C30</f>
        <v>466892129</v>
      </c>
      <c r="D40" s="120">
        <f>D38+D36+D34+D30</f>
        <v>550106237</v>
      </c>
      <c r="E40" s="120">
        <f>D40-C40</f>
        <v>83214108</v>
      </c>
      <c r="F40" s="121">
        <f>IF(ISERROR(E40/C40),0,(E40/C40))</f>
        <v>0.1782298368966507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41055415</v>
      </c>
      <c r="C42" s="78">
        <v>47152275</v>
      </c>
      <c r="D42" s="78">
        <v>49780930</v>
      </c>
      <c r="E42" s="78">
        <f aca="true" t="shared" si="3" ref="E42:E49">D42-C42</f>
        <v>2628655</v>
      </c>
      <c r="F42" s="92">
        <f aca="true" t="shared" si="4" ref="F42:F55">IF(ISERROR(E42/C42),0,(E42/C42))</f>
        <v>0.055748211512594036</v>
      </c>
    </row>
    <row r="43" spans="1:6" ht="91.5">
      <c r="A43" s="80" t="s">
        <v>20</v>
      </c>
      <c r="B43" s="78">
        <v>19136213</v>
      </c>
      <c r="C43" s="78">
        <v>18719991</v>
      </c>
      <c r="D43" s="78">
        <v>18992695</v>
      </c>
      <c r="E43" s="78">
        <f t="shared" si="3"/>
        <v>272704</v>
      </c>
      <c r="F43" s="90">
        <f t="shared" si="4"/>
        <v>0.014567528371140778</v>
      </c>
    </row>
    <row r="44" spans="1:6" ht="91.5">
      <c r="A44" s="80" t="s">
        <v>21</v>
      </c>
      <c r="B44" s="78">
        <v>247394</v>
      </c>
      <c r="C44" s="78">
        <v>400000</v>
      </c>
      <c r="D44" s="78">
        <v>400000</v>
      </c>
      <c r="E44" s="78">
        <f t="shared" si="3"/>
        <v>0</v>
      </c>
      <c r="F44" s="90">
        <f t="shared" si="4"/>
        <v>0</v>
      </c>
    </row>
    <row r="45" spans="1:6" ht="91.5">
      <c r="A45" s="80" t="s">
        <v>49</v>
      </c>
      <c r="B45" s="78">
        <v>6358090</v>
      </c>
      <c r="C45" s="78">
        <v>6168720</v>
      </c>
      <c r="D45" s="78">
        <v>5718559</v>
      </c>
      <c r="E45" s="78">
        <f t="shared" si="3"/>
        <v>-450161</v>
      </c>
      <c r="F45" s="90">
        <f t="shared" si="4"/>
        <v>-0.07297478245081637</v>
      </c>
    </row>
    <row r="46" spans="1:6" ht="91.5">
      <c r="A46" s="80" t="s">
        <v>22</v>
      </c>
      <c r="B46" s="78">
        <v>902673</v>
      </c>
      <c r="C46" s="78">
        <v>889398</v>
      </c>
      <c r="D46" s="78">
        <v>1027589</v>
      </c>
      <c r="E46" s="78">
        <f t="shared" si="3"/>
        <v>138191</v>
      </c>
      <c r="F46" s="90">
        <f t="shared" si="4"/>
        <v>0.15537588346274672</v>
      </c>
    </row>
    <row r="47" spans="1:6" ht="91.5">
      <c r="A47" s="80" t="s">
        <v>23</v>
      </c>
      <c r="B47" s="78">
        <v>20540249</v>
      </c>
      <c r="C47" s="78">
        <v>21564416</v>
      </c>
      <c r="D47" s="78">
        <v>20592750</v>
      </c>
      <c r="E47" s="78">
        <f t="shared" si="3"/>
        <v>-971666</v>
      </c>
      <c r="F47" s="90">
        <f t="shared" si="4"/>
        <v>-0.04505876718386438</v>
      </c>
    </row>
    <row r="48" spans="1:6" ht="91.5">
      <c r="A48" s="80" t="s">
        <v>24</v>
      </c>
      <c r="B48" s="78">
        <v>413463</v>
      </c>
      <c r="C48" s="78">
        <v>601336</v>
      </c>
      <c r="D48" s="78">
        <v>601336</v>
      </c>
      <c r="E48" s="78">
        <f t="shared" si="3"/>
        <v>0</v>
      </c>
      <c r="F48" s="90">
        <f t="shared" si="4"/>
        <v>0</v>
      </c>
    </row>
    <row r="49" spans="1:6" ht="91.5">
      <c r="A49" s="80" t="s">
        <v>25</v>
      </c>
      <c r="B49" s="78">
        <v>4903389</v>
      </c>
      <c r="C49" s="78">
        <v>4616487</v>
      </c>
      <c r="D49" s="78">
        <v>5086432</v>
      </c>
      <c r="E49" s="78">
        <f t="shared" si="3"/>
        <v>469945</v>
      </c>
      <c r="F49" s="90">
        <f t="shared" si="4"/>
        <v>0.10179710242875156</v>
      </c>
    </row>
    <row r="50" spans="1:6" ht="91.5">
      <c r="A50" s="93" t="s">
        <v>26</v>
      </c>
      <c r="B50" s="83">
        <f>SUM(B42:B49)</f>
        <v>93556886</v>
      </c>
      <c r="C50" s="83">
        <f>SUM(C42:C49)</f>
        <v>100112623</v>
      </c>
      <c r="D50" s="83">
        <f>SUM(D42:D49)</f>
        <v>102200291</v>
      </c>
      <c r="E50" s="74"/>
      <c r="F50" s="87">
        <f t="shared" si="4"/>
        <v>0</v>
      </c>
    </row>
    <row r="51" spans="1:6" ht="91.5">
      <c r="A51" s="80" t="s">
        <v>27</v>
      </c>
      <c r="B51" s="78">
        <v>369497505</v>
      </c>
      <c r="C51" s="78">
        <v>366764506</v>
      </c>
      <c r="D51" s="78">
        <v>447890946</v>
      </c>
      <c r="E51" s="78">
        <f>D51-C51</f>
        <v>81126440</v>
      </c>
      <c r="F51" s="90">
        <f t="shared" si="4"/>
        <v>0.22119490483083987</v>
      </c>
    </row>
    <row r="52" spans="1:6" ht="91.5">
      <c r="A52" s="80" t="s">
        <v>28</v>
      </c>
      <c r="B52" s="78">
        <v>0</v>
      </c>
      <c r="C52" s="78">
        <v>0</v>
      </c>
      <c r="D52" s="78">
        <v>0</v>
      </c>
      <c r="E52" s="78">
        <f>D52-C52</f>
        <v>0</v>
      </c>
      <c r="F52" s="90">
        <f t="shared" si="4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f t="shared" si="4"/>
        <v>0</v>
      </c>
    </row>
    <row r="54" spans="1:6" ht="91.5">
      <c r="A54" s="80" t="s">
        <v>30</v>
      </c>
      <c r="B54" s="78">
        <v>17554</v>
      </c>
      <c r="C54" s="78">
        <v>15000</v>
      </c>
      <c r="D54" s="78">
        <v>15000</v>
      </c>
      <c r="E54" s="78">
        <f>D54-C54</f>
        <v>0</v>
      </c>
      <c r="F54" s="90">
        <f t="shared" si="4"/>
        <v>0</v>
      </c>
    </row>
    <row r="55" spans="1:6" ht="91.5">
      <c r="A55" s="94" t="s">
        <v>31</v>
      </c>
      <c r="B55" s="85">
        <f>B54+B53+B52+B51+B50</f>
        <v>463071945</v>
      </c>
      <c r="C55" s="85">
        <f>C54+C53+C52+C51+C50</f>
        <v>466892129</v>
      </c>
      <c r="D55" s="85">
        <f>D54+D53+D52+D51+D50</f>
        <v>550106237</v>
      </c>
      <c r="E55" s="85">
        <f>D55-C55</f>
        <v>83214108</v>
      </c>
      <c r="F55" s="95">
        <f t="shared" si="4"/>
        <v>0.1782298368966507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211222447</v>
      </c>
      <c r="C57" s="78">
        <v>211667194</v>
      </c>
      <c r="D57" s="78">
        <v>244163710</v>
      </c>
      <c r="E57" s="78">
        <f aca="true" t="shared" si="5" ref="E57:E74">D57-C57</f>
        <v>32496516</v>
      </c>
      <c r="F57" s="92">
        <f aca="true" t="shared" si="6" ref="F57:F74">IF(ISERROR(E57/C57),0,(E57/C57))</f>
        <v>0.15352646475768938</v>
      </c>
    </row>
    <row r="58" spans="1:6" ht="91.5">
      <c r="A58" s="80" t="s">
        <v>34</v>
      </c>
      <c r="B58" s="78">
        <v>21497865</v>
      </c>
      <c r="C58" s="78">
        <v>20231861</v>
      </c>
      <c r="D58" s="78">
        <v>22368315</v>
      </c>
      <c r="E58" s="78">
        <f t="shared" si="5"/>
        <v>2136454</v>
      </c>
      <c r="F58" s="90">
        <f t="shared" si="6"/>
        <v>0.10559849140916894</v>
      </c>
    </row>
    <row r="59" spans="1:6" ht="91.5">
      <c r="A59" s="80" t="s">
        <v>35</v>
      </c>
      <c r="B59" s="78">
        <v>55324371</v>
      </c>
      <c r="C59" s="78">
        <v>59523451</v>
      </c>
      <c r="D59" s="78">
        <v>73803725</v>
      </c>
      <c r="E59" s="78">
        <f t="shared" si="5"/>
        <v>14280274</v>
      </c>
      <c r="F59" s="90">
        <f t="shared" si="6"/>
        <v>0.2399100482262025</v>
      </c>
    </row>
    <row r="60" spans="1:6" ht="91.5">
      <c r="A60" s="93" t="s">
        <v>36</v>
      </c>
      <c r="B60" s="96">
        <f>SUM(B57:B59)</f>
        <v>288044683</v>
      </c>
      <c r="C60" s="96">
        <f>SUM(C57:C59)</f>
        <v>291422506</v>
      </c>
      <c r="D60" s="96">
        <f>SUM(D57:D59)</f>
        <v>340335750</v>
      </c>
      <c r="E60" s="96">
        <f t="shared" si="5"/>
        <v>48913244</v>
      </c>
      <c r="F60" s="97">
        <f t="shared" si="6"/>
        <v>0.16784305601983945</v>
      </c>
    </row>
    <row r="61" spans="1:6" ht="91.5">
      <c r="A61" s="80" t="s">
        <v>37</v>
      </c>
      <c r="B61" s="78">
        <v>757809</v>
      </c>
      <c r="C61" s="78">
        <v>723782</v>
      </c>
      <c r="D61" s="78">
        <v>726485</v>
      </c>
      <c r="E61" s="78">
        <f t="shared" si="5"/>
        <v>2703</v>
      </c>
      <c r="F61" s="90">
        <f t="shared" si="6"/>
        <v>0.003734549905910896</v>
      </c>
    </row>
    <row r="62" spans="1:6" ht="91.5">
      <c r="A62" s="80" t="s">
        <v>38</v>
      </c>
      <c r="B62" s="78">
        <v>46752259</v>
      </c>
      <c r="C62" s="78">
        <v>47693715</v>
      </c>
      <c r="D62" s="78">
        <v>59293598</v>
      </c>
      <c r="E62" s="78">
        <f t="shared" si="5"/>
        <v>11599883</v>
      </c>
      <c r="F62" s="90">
        <f t="shared" si="6"/>
        <v>0.24321617638718226</v>
      </c>
    </row>
    <row r="63" spans="1:6" ht="91.5">
      <c r="A63" s="80" t="s">
        <v>39</v>
      </c>
      <c r="B63" s="78">
        <v>87568469</v>
      </c>
      <c r="C63" s="78">
        <v>87578383</v>
      </c>
      <c r="D63" s="78">
        <v>98329491</v>
      </c>
      <c r="E63" s="78">
        <f t="shared" si="5"/>
        <v>10751108</v>
      </c>
      <c r="F63" s="90">
        <f t="shared" si="6"/>
        <v>0.12275983675103935</v>
      </c>
    </row>
    <row r="64" spans="1:6" ht="91.5">
      <c r="A64" s="76" t="s">
        <v>40</v>
      </c>
      <c r="B64" s="83">
        <f>SUM(B61:B63)</f>
        <v>135078537</v>
      </c>
      <c r="C64" s="83">
        <f>SUM(C61:C63)</f>
        <v>135995880</v>
      </c>
      <c r="D64" s="83">
        <f>SUM(D61:D63)</f>
        <v>158349574</v>
      </c>
      <c r="E64" s="83">
        <f t="shared" si="5"/>
        <v>22353694</v>
      </c>
      <c r="F64" s="87">
        <f t="shared" si="6"/>
        <v>0.16437037651434735</v>
      </c>
    </row>
    <row r="65" spans="1:6" ht="91.5">
      <c r="A65" s="80" t="s">
        <v>41</v>
      </c>
      <c r="B65" s="78">
        <v>2869995</v>
      </c>
      <c r="C65" s="78">
        <v>2756452</v>
      </c>
      <c r="D65" s="78">
        <v>16863552</v>
      </c>
      <c r="E65" s="78">
        <f t="shared" si="5"/>
        <v>14107100</v>
      </c>
      <c r="F65" s="90">
        <f t="shared" si="6"/>
        <v>5.117847145533461</v>
      </c>
    </row>
    <row r="66" spans="1:6" ht="91.5">
      <c r="A66" s="80" t="s">
        <v>42</v>
      </c>
      <c r="B66" s="78">
        <v>606980</v>
      </c>
      <c r="C66" s="78">
        <v>756825</v>
      </c>
      <c r="D66" s="78">
        <v>1047531</v>
      </c>
      <c r="E66" s="78">
        <f t="shared" si="5"/>
        <v>290706</v>
      </c>
      <c r="F66" s="90">
        <f t="shared" si="6"/>
        <v>0.3841125755623823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5"/>
        <v>0</v>
      </c>
      <c r="F67" s="90">
        <f t="shared" si="6"/>
        <v>0</v>
      </c>
    </row>
    <row r="68" spans="1:6" ht="91.5">
      <c r="A68" s="80" t="s">
        <v>44</v>
      </c>
      <c r="B68" s="78">
        <v>27470381</v>
      </c>
      <c r="C68" s="78">
        <v>27987976</v>
      </c>
      <c r="D68" s="78">
        <v>30725087</v>
      </c>
      <c r="E68" s="78">
        <f t="shared" si="5"/>
        <v>2737111</v>
      </c>
      <c r="F68" s="90">
        <f t="shared" si="6"/>
        <v>0.09779596066539431</v>
      </c>
    </row>
    <row r="69" spans="1:6" ht="91.5">
      <c r="A69" s="76" t="s">
        <v>45</v>
      </c>
      <c r="B69" s="85">
        <f>SUM(B65:B68)</f>
        <v>30947356</v>
      </c>
      <c r="C69" s="85">
        <f>SUM(C65:C68)</f>
        <v>31501253</v>
      </c>
      <c r="D69" s="85">
        <f>SUM(D65:D68)</f>
        <v>48636170</v>
      </c>
      <c r="E69" s="85">
        <f t="shared" si="5"/>
        <v>17134917</v>
      </c>
      <c r="F69" s="87">
        <f t="shared" si="6"/>
        <v>0.5439439821647729</v>
      </c>
    </row>
    <row r="70" spans="1:6" ht="91.5">
      <c r="A70" s="80" t="s">
        <v>57</v>
      </c>
      <c r="B70" s="78">
        <v>8096742</v>
      </c>
      <c r="C70" s="78">
        <v>7062859</v>
      </c>
      <c r="D70" s="78">
        <v>1875112</v>
      </c>
      <c r="E70" s="78">
        <f t="shared" si="5"/>
        <v>-5187747</v>
      </c>
      <c r="F70" s="90">
        <f t="shared" si="6"/>
        <v>-0.7345109112329724</v>
      </c>
    </row>
    <row r="71" spans="1:6" ht="91.5">
      <c r="A71" s="80" t="s">
        <v>46</v>
      </c>
      <c r="B71" s="78">
        <v>904627</v>
      </c>
      <c r="C71" s="78">
        <v>909631</v>
      </c>
      <c r="D71" s="78">
        <v>909631</v>
      </c>
      <c r="E71" s="78">
        <f t="shared" si="5"/>
        <v>0</v>
      </c>
      <c r="F71" s="90">
        <f t="shared" si="6"/>
        <v>0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5"/>
        <v>0</v>
      </c>
      <c r="F72" s="90">
        <f t="shared" si="6"/>
        <v>0</v>
      </c>
    </row>
    <row r="73" spans="1:6" ht="91.5">
      <c r="A73" s="99" t="s">
        <v>48</v>
      </c>
      <c r="B73" s="85">
        <f>SUM(B70:B72)</f>
        <v>9001369</v>
      </c>
      <c r="C73" s="85">
        <f>SUM(C70:C72)</f>
        <v>7972490</v>
      </c>
      <c r="D73" s="85">
        <f>SUM(D70:D72)</f>
        <v>2784743</v>
      </c>
      <c r="E73" s="85">
        <f t="shared" si="5"/>
        <v>-5187747</v>
      </c>
      <c r="F73" s="95">
        <f t="shared" si="6"/>
        <v>-0.6507059902238824</v>
      </c>
    </row>
    <row r="74" spans="1:6" ht="91.5">
      <c r="A74" s="94" t="s">
        <v>31</v>
      </c>
      <c r="B74" s="85">
        <f>B73+B69+B64+B60</f>
        <v>463071945</v>
      </c>
      <c r="C74" s="85">
        <f>C73+C69+C64+C60</f>
        <v>466892129</v>
      </c>
      <c r="D74" s="85">
        <f>D73+D69+D64+D60</f>
        <v>550106237</v>
      </c>
      <c r="E74" s="85">
        <f t="shared" si="5"/>
        <v>83214108</v>
      </c>
      <c r="F74" s="95">
        <f t="shared" si="6"/>
        <v>0.1782298368966507</v>
      </c>
    </row>
    <row r="75" ht="91.5">
      <c r="A75" s="56" t="s">
        <v>186</v>
      </c>
    </row>
    <row r="76" ht="91.5">
      <c r="F76" s="100"/>
    </row>
    <row r="77" spans="1:6" ht="91.5">
      <c r="A77" s="56" t="s">
        <v>0</v>
      </c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L91"/>
  <sheetViews>
    <sheetView zoomScale="35" zoomScaleNormal="35" zoomScalePageLayoutView="0" workbookViewId="0" topLeftCell="A16">
      <selection activeCell="A41" sqref="A41"/>
    </sheetView>
  </sheetViews>
  <sheetFormatPr defaultColWidth="9.6640625" defaultRowHeight="15"/>
  <cols>
    <col min="1" max="1" width="135.10546875" style="1" customWidth="1"/>
    <col min="2" max="5" width="30.77734375" style="1" customWidth="1"/>
    <col min="6" max="6" width="49.4453125" style="1" customWidth="1"/>
    <col min="7" max="7" width="1.66796875" style="1" customWidth="1"/>
    <col min="8" max="16384" width="9.6640625" style="1" customWidth="1"/>
  </cols>
  <sheetData>
    <row r="1" spans="1:12" ht="45">
      <c r="A1" s="31" t="s">
        <v>80</v>
      </c>
      <c r="B1" s="6"/>
      <c r="C1" s="6"/>
      <c r="D1" s="6"/>
      <c r="E1" s="35" t="s">
        <v>6</v>
      </c>
      <c r="F1" s="7"/>
      <c r="G1" s="7"/>
      <c r="H1" s="7"/>
      <c r="I1" s="7"/>
      <c r="J1" s="7"/>
      <c r="K1" s="7"/>
      <c r="L1" s="7"/>
    </row>
    <row r="2" spans="1:12" ht="45">
      <c r="A2" s="31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5.75" thickBot="1">
      <c r="A3" s="32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0" ht="36" thickTop="1">
      <c r="A4" s="18" t="s">
        <v>7</v>
      </c>
      <c r="B4" s="36" t="s">
        <v>8</v>
      </c>
      <c r="C4" s="37" t="s">
        <v>9</v>
      </c>
      <c r="D4" s="37" t="s">
        <v>9</v>
      </c>
      <c r="E4" s="38" t="s">
        <v>55</v>
      </c>
      <c r="F4" s="38" t="s">
        <v>1</v>
      </c>
      <c r="G4" s="5"/>
      <c r="J4" s="2"/>
    </row>
    <row r="5" spans="1:10" ht="35.25">
      <c r="A5" s="19"/>
      <c r="B5" s="39" t="s">
        <v>2</v>
      </c>
      <c r="C5" s="39" t="s">
        <v>59</v>
      </c>
      <c r="D5" s="39" t="s">
        <v>95</v>
      </c>
      <c r="E5" s="39" t="s">
        <v>2</v>
      </c>
      <c r="F5" s="39" t="s">
        <v>10</v>
      </c>
      <c r="G5" s="5"/>
      <c r="J5" s="2"/>
    </row>
    <row r="6" spans="1:10" ht="35.25">
      <c r="A6" s="20" t="s">
        <v>11</v>
      </c>
      <c r="B6" s="11"/>
      <c r="C6" s="11"/>
      <c r="D6" s="11"/>
      <c r="E6" s="11"/>
      <c r="F6" s="11"/>
      <c r="G6" s="5"/>
      <c r="J6" s="2"/>
    </row>
    <row r="7" spans="1:10" ht="35.25">
      <c r="A7" s="20" t="s">
        <v>12</v>
      </c>
      <c r="B7" s="11"/>
      <c r="C7" s="11"/>
      <c r="D7" s="11"/>
      <c r="E7" s="11"/>
      <c r="F7" s="11"/>
      <c r="G7" s="5"/>
      <c r="J7" s="2"/>
    </row>
    <row r="8" spans="1:10" ht="34.5">
      <c r="A8" s="21" t="s">
        <v>13</v>
      </c>
      <c r="B8" s="12"/>
      <c r="C8" s="12"/>
      <c r="D8" s="12"/>
      <c r="E8" s="12">
        <f>D8-C8</f>
        <v>0</v>
      </c>
      <c r="F8" s="12" t="e">
        <f>E8/C8</f>
        <v>#DIV/0!</v>
      </c>
      <c r="G8" s="5"/>
      <c r="J8" s="2"/>
    </row>
    <row r="9" spans="1:10" ht="34.5">
      <c r="A9" s="44" t="s">
        <v>60</v>
      </c>
      <c r="B9" s="13">
        <f>SUM(B10:B23)</f>
        <v>0</v>
      </c>
      <c r="C9" s="13">
        <f>SUM(C10:C23)</f>
        <v>0</v>
      </c>
      <c r="D9" s="13">
        <f>SUM(D10:D23)</f>
        <v>0</v>
      </c>
      <c r="E9" s="13">
        <f>D9-C9</f>
        <v>0</v>
      </c>
      <c r="F9" s="13" t="e">
        <f>E9/C9</f>
        <v>#DIV/0!</v>
      </c>
      <c r="G9" s="5"/>
      <c r="J9" s="2"/>
    </row>
    <row r="10" spans="1:10" ht="34.5">
      <c r="A10" s="45" t="s">
        <v>61</v>
      </c>
      <c r="B10" s="14"/>
      <c r="C10" s="14"/>
      <c r="D10" s="14"/>
      <c r="E10" s="13">
        <f aca="true" t="shared" si="0" ref="E10:E31">D10-C10</f>
        <v>0</v>
      </c>
      <c r="F10" s="13" t="e">
        <f aca="true" t="shared" si="1" ref="F10:F33">E10/C10</f>
        <v>#DIV/0!</v>
      </c>
      <c r="G10" s="5"/>
      <c r="J10" s="2"/>
    </row>
    <row r="11" spans="1:10" ht="34.5">
      <c r="A11" s="46" t="s">
        <v>62</v>
      </c>
      <c r="B11" s="14"/>
      <c r="C11" s="14"/>
      <c r="D11" s="14"/>
      <c r="E11" s="13">
        <f t="shared" si="0"/>
        <v>0</v>
      </c>
      <c r="F11" s="13" t="e">
        <f t="shared" si="1"/>
        <v>#DIV/0!</v>
      </c>
      <c r="G11" s="5"/>
      <c r="J11" s="2"/>
    </row>
    <row r="12" spans="1:10" ht="34.5">
      <c r="A12" s="46" t="s">
        <v>65</v>
      </c>
      <c r="B12" s="14"/>
      <c r="C12" s="14"/>
      <c r="D12" s="14"/>
      <c r="E12" s="13">
        <f t="shared" si="0"/>
        <v>0</v>
      </c>
      <c r="F12" s="13" t="e">
        <f t="shared" si="1"/>
        <v>#DIV/0!</v>
      </c>
      <c r="G12" s="5"/>
      <c r="J12" s="2"/>
    </row>
    <row r="13" spans="1:10" ht="34.5">
      <c r="A13" s="46" t="s">
        <v>66</v>
      </c>
      <c r="B13" s="14"/>
      <c r="C13" s="14"/>
      <c r="D13" s="14"/>
      <c r="E13" s="13">
        <f t="shared" si="0"/>
        <v>0</v>
      </c>
      <c r="F13" s="13" t="e">
        <f t="shared" si="1"/>
        <v>#DIV/0!</v>
      </c>
      <c r="G13" s="5"/>
      <c r="J13" s="2"/>
    </row>
    <row r="14" spans="1:10" ht="34.5">
      <c r="A14" s="46" t="s">
        <v>67</v>
      </c>
      <c r="B14" s="14"/>
      <c r="C14" s="14"/>
      <c r="D14" s="14"/>
      <c r="E14" s="13">
        <f t="shared" si="0"/>
        <v>0</v>
      </c>
      <c r="F14" s="13" t="e">
        <f t="shared" si="1"/>
        <v>#DIV/0!</v>
      </c>
      <c r="G14" s="5"/>
      <c r="J14" s="2"/>
    </row>
    <row r="15" spans="1:10" ht="34.5">
      <c r="A15" s="46" t="s">
        <v>74</v>
      </c>
      <c r="B15" s="14"/>
      <c r="C15" s="14"/>
      <c r="D15" s="14"/>
      <c r="E15" s="13">
        <f t="shared" si="0"/>
        <v>0</v>
      </c>
      <c r="F15" s="13" t="e">
        <f t="shared" si="1"/>
        <v>#DIV/0!</v>
      </c>
      <c r="G15" s="5"/>
      <c r="J15" s="2"/>
    </row>
    <row r="16" spans="1:10" ht="34.5">
      <c r="A16" s="46" t="s">
        <v>63</v>
      </c>
      <c r="B16" s="14"/>
      <c r="C16" s="14"/>
      <c r="D16" s="14"/>
      <c r="E16" s="13">
        <f t="shared" si="0"/>
        <v>0</v>
      </c>
      <c r="F16" s="13" t="e">
        <f t="shared" si="1"/>
        <v>#DIV/0!</v>
      </c>
      <c r="G16" s="5"/>
      <c r="J16" s="2"/>
    </row>
    <row r="17" spans="1:10" ht="34.5">
      <c r="A17" s="46" t="s">
        <v>64</v>
      </c>
      <c r="B17" s="14"/>
      <c r="C17" s="14"/>
      <c r="D17" s="14"/>
      <c r="E17" s="13">
        <f t="shared" si="0"/>
        <v>0</v>
      </c>
      <c r="F17" s="13" t="e">
        <f t="shared" si="1"/>
        <v>#DIV/0!</v>
      </c>
      <c r="G17" s="5"/>
      <c r="J17" s="2"/>
    </row>
    <row r="18" spans="1:10" ht="34.5">
      <c r="A18" s="46" t="s">
        <v>73</v>
      </c>
      <c r="B18" s="14"/>
      <c r="C18" s="14"/>
      <c r="D18" s="14"/>
      <c r="E18" s="13">
        <f t="shared" si="0"/>
        <v>0</v>
      </c>
      <c r="F18" s="13" t="e">
        <f t="shared" si="1"/>
        <v>#DIV/0!</v>
      </c>
      <c r="G18" s="5"/>
      <c r="J18" s="2"/>
    </row>
    <row r="19" spans="1:10" ht="34.5">
      <c r="A19" s="48" t="s">
        <v>75</v>
      </c>
      <c r="B19" s="14"/>
      <c r="C19" s="14"/>
      <c r="D19" s="14"/>
      <c r="E19" s="13">
        <f t="shared" si="0"/>
        <v>0</v>
      </c>
      <c r="F19" s="13" t="e">
        <f t="shared" si="1"/>
        <v>#DIV/0!</v>
      </c>
      <c r="G19" s="5"/>
      <c r="J19" s="2"/>
    </row>
    <row r="20" spans="1:10" ht="34.5">
      <c r="A20" s="46" t="s">
        <v>68</v>
      </c>
      <c r="B20" s="14"/>
      <c r="C20" s="14"/>
      <c r="D20" s="14"/>
      <c r="E20" s="13">
        <f t="shared" si="0"/>
        <v>0</v>
      </c>
      <c r="F20" s="13" t="e">
        <f t="shared" si="1"/>
        <v>#DIV/0!</v>
      </c>
      <c r="G20" s="5"/>
      <c r="J20" s="2"/>
    </row>
    <row r="21" spans="1:10" ht="34.5">
      <c r="A21" s="46" t="s">
        <v>69</v>
      </c>
      <c r="B21" s="14"/>
      <c r="C21" s="14"/>
      <c r="D21" s="14"/>
      <c r="E21" s="13">
        <f t="shared" si="0"/>
        <v>0</v>
      </c>
      <c r="F21" s="13" t="e">
        <f t="shared" si="1"/>
        <v>#DIV/0!</v>
      </c>
      <c r="G21" s="5"/>
      <c r="J21" s="2"/>
    </row>
    <row r="22" spans="1:10" ht="34.5">
      <c r="A22" s="46" t="s">
        <v>70</v>
      </c>
      <c r="B22" s="14"/>
      <c r="C22" s="14"/>
      <c r="D22" s="14"/>
      <c r="E22" s="13">
        <f t="shared" si="0"/>
        <v>0</v>
      </c>
      <c r="F22" s="13" t="e">
        <f t="shared" si="1"/>
        <v>#DIV/0!</v>
      </c>
      <c r="G22" s="5"/>
      <c r="J22" s="2"/>
    </row>
    <row r="23" spans="1:10" ht="34.5">
      <c r="A23" s="49" t="s">
        <v>71</v>
      </c>
      <c r="B23" s="14"/>
      <c r="C23" s="14"/>
      <c r="D23" s="14"/>
      <c r="E23" s="13">
        <f t="shared" si="0"/>
        <v>0</v>
      </c>
      <c r="F23" s="13" t="e">
        <f t="shared" si="1"/>
        <v>#DIV/0!</v>
      </c>
      <c r="G23" s="5"/>
      <c r="J23" s="2"/>
    </row>
    <row r="24" spans="1:10" ht="35.25">
      <c r="A24" s="26" t="s">
        <v>50</v>
      </c>
      <c r="B24" s="14">
        <f>B25+B26</f>
        <v>0</v>
      </c>
      <c r="C24" s="14">
        <f>C25+C26</f>
        <v>0</v>
      </c>
      <c r="D24" s="14">
        <f>D25+D26</f>
        <v>0</v>
      </c>
      <c r="E24" s="14">
        <f t="shared" si="0"/>
        <v>0</v>
      </c>
      <c r="F24" s="14" t="e">
        <f t="shared" si="1"/>
        <v>#DIV/0!</v>
      </c>
      <c r="G24" s="3"/>
      <c r="J24" s="2"/>
    </row>
    <row r="25" spans="1:10" ht="34.5">
      <c r="A25" s="23" t="s">
        <v>51</v>
      </c>
      <c r="B25" s="12"/>
      <c r="C25" s="12"/>
      <c r="D25" s="12"/>
      <c r="E25" s="12">
        <f t="shared" si="0"/>
        <v>0</v>
      </c>
      <c r="F25" s="12" t="e">
        <f t="shared" si="1"/>
        <v>#DIV/0!</v>
      </c>
      <c r="G25" s="3"/>
      <c r="J25" s="2"/>
    </row>
    <row r="26" spans="1:10" ht="34.5">
      <c r="A26" s="24" t="s">
        <v>53</v>
      </c>
      <c r="B26" s="15"/>
      <c r="C26" s="15"/>
      <c r="D26" s="15"/>
      <c r="E26" s="13">
        <f t="shared" si="0"/>
        <v>0</v>
      </c>
      <c r="F26" s="13" t="e">
        <f t="shared" si="1"/>
        <v>#DIV/0!</v>
      </c>
      <c r="G26" s="3"/>
      <c r="J26" s="2"/>
    </row>
    <row r="27" spans="1:10" ht="35.25">
      <c r="A27" s="22" t="s">
        <v>52</v>
      </c>
      <c r="B27" s="14">
        <f>B28+B29</f>
        <v>0</v>
      </c>
      <c r="C27" s="14">
        <f>C28+C29</f>
        <v>0</v>
      </c>
      <c r="D27" s="14">
        <f>D28+D29</f>
        <v>0</v>
      </c>
      <c r="E27" s="14">
        <f t="shared" si="0"/>
        <v>0</v>
      </c>
      <c r="F27" s="14" t="e">
        <f t="shared" si="1"/>
        <v>#DIV/0!</v>
      </c>
      <c r="G27" s="3"/>
      <c r="J27" s="2"/>
    </row>
    <row r="28" spans="1:10" ht="34.5">
      <c r="A28" s="24" t="s">
        <v>51</v>
      </c>
      <c r="B28" s="12"/>
      <c r="C28" s="12"/>
      <c r="D28" s="12"/>
      <c r="E28" s="12">
        <f t="shared" si="0"/>
        <v>0</v>
      </c>
      <c r="F28" s="12" t="e">
        <f t="shared" si="1"/>
        <v>#DIV/0!</v>
      </c>
      <c r="G28" s="3"/>
      <c r="J28" s="2"/>
    </row>
    <row r="29" spans="1:10" ht="34.5">
      <c r="A29" s="25" t="s">
        <v>53</v>
      </c>
      <c r="B29" s="15"/>
      <c r="C29" s="15"/>
      <c r="D29" s="15"/>
      <c r="E29" s="13">
        <f t="shared" si="0"/>
        <v>0</v>
      </c>
      <c r="F29" s="13" t="e">
        <f t="shared" si="1"/>
        <v>#DIV/0!</v>
      </c>
      <c r="G29" s="3"/>
      <c r="J29" s="2"/>
    </row>
    <row r="30" spans="1:10" ht="34.5">
      <c r="A30" s="25" t="s">
        <v>54</v>
      </c>
      <c r="B30" s="14"/>
      <c r="C30" s="14"/>
      <c r="D30" s="14"/>
      <c r="E30" s="13">
        <f t="shared" si="0"/>
        <v>0</v>
      </c>
      <c r="F30" s="13" t="e">
        <f t="shared" si="1"/>
        <v>#DIV/0!</v>
      </c>
      <c r="G30" s="3"/>
      <c r="J30" s="2"/>
    </row>
    <row r="31" spans="1:10" ht="35.25">
      <c r="A31" s="22" t="s">
        <v>14</v>
      </c>
      <c r="B31" s="14">
        <f>B30+B29+B28+B26+B25+B9+B8</f>
        <v>0</v>
      </c>
      <c r="C31" s="14">
        <f>C30+C29+C28+C26+C25+C9+C8</f>
        <v>0</v>
      </c>
      <c r="D31" s="14">
        <f>D30+D29+D28+D26+D25+D9+D8</f>
        <v>0</v>
      </c>
      <c r="E31" s="14">
        <f t="shared" si="0"/>
        <v>0</v>
      </c>
      <c r="F31" s="14" t="e">
        <f t="shared" si="1"/>
        <v>#DIV/0!</v>
      </c>
      <c r="G31" s="3"/>
      <c r="J31" s="2"/>
    </row>
    <row r="32" spans="1:10" ht="35.25">
      <c r="A32" s="22"/>
      <c r="B32" s="14"/>
      <c r="C32" s="14"/>
      <c r="D32" s="14"/>
      <c r="E32" s="14"/>
      <c r="F32" s="14"/>
      <c r="G32" s="3"/>
      <c r="J32" s="2"/>
    </row>
    <row r="33" spans="1:10" ht="35.25">
      <c r="A33" s="26" t="s">
        <v>78</v>
      </c>
      <c r="B33" s="15"/>
      <c r="C33" s="15"/>
      <c r="D33" s="15"/>
      <c r="E33" s="15">
        <f>D33-C33</f>
        <v>0</v>
      </c>
      <c r="F33" s="15" t="e">
        <f t="shared" si="1"/>
        <v>#DIV/0!</v>
      </c>
      <c r="G33" s="3"/>
      <c r="J33" s="2"/>
    </row>
    <row r="34" spans="1:10" ht="34.5">
      <c r="A34" s="25" t="s">
        <v>0</v>
      </c>
      <c r="B34" s="14"/>
      <c r="C34" s="14"/>
      <c r="D34" s="14"/>
      <c r="E34" s="14"/>
      <c r="F34" s="14"/>
      <c r="G34" s="3"/>
      <c r="J34" s="2"/>
    </row>
    <row r="35" spans="1:10" ht="35.25">
      <c r="A35" s="26" t="s">
        <v>15</v>
      </c>
      <c r="B35" s="15"/>
      <c r="C35" s="15"/>
      <c r="D35" s="15"/>
      <c r="E35" s="15">
        <f>D35-C35</f>
        <v>0</v>
      </c>
      <c r="F35" s="15" t="e">
        <f>E35/C35</f>
        <v>#DIV/0!</v>
      </c>
      <c r="G35" s="3"/>
      <c r="J35" s="2"/>
    </row>
    <row r="36" spans="1:10" ht="34.5">
      <c r="A36" s="25" t="s">
        <v>0</v>
      </c>
      <c r="B36" s="14"/>
      <c r="C36" s="14"/>
      <c r="D36" s="14"/>
      <c r="E36" s="14"/>
      <c r="F36" s="14"/>
      <c r="G36" s="3"/>
      <c r="J36" s="2"/>
    </row>
    <row r="37" spans="1:10" ht="35.25">
      <c r="A37" s="26" t="s">
        <v>56</v>
      </c>
      <c r="B37" s="15"/>
      <c r="C37" s="15"/>
      <c r="D37" s="15"/>
      <c r="E37" s="15">
        <f>D37-C37</f>
        <v>0</v>
      </c>
      <c r="F37" s="15" t="e">
        <f>E37/C37</f>
        <v>#DIV/0!</v>
      </c>
      <c r="G37" s="3"/>
      <c r="J37" s="2"/>
    </row>
    <row r="38" spans="1:10" ht="34.5">
      <c r="A38" s="25" t="s">
        <v>0</v>
      </c>
      <c r="B38" s="14"/>
      <c r="C38" s="14"/>
      <c r="D38" s="14"/>
      <c r="E38" s="14"/>
      <c r="F38" s="14"/>
      <c r="G38" s="3"/>
      <c r="J38" s="2"/>
    </row>
    <row r="39" spans="1:10" ht="35.25">
      <c r="A39" s="26" t="s">
        <v>16</v>
      </c>
      <c r="B39" s="15"/>
      <c r="C39" s="15"/>
      <c r="D39" s="15"/>
      <c r="E39" s="15">
        <f>D39-C39</f>
        <v>0</v>
      </c>
      <c r="F39" s="15" t="e">
        <f>E39/C39</f>
        <v>#DIV/0!</v>
      </c>
      <c r="G39" s="3"/>
      <c r="J39" s="2"/>
    </row>
    <row r="40" spans="1:10" ht="34.5">
      <c r="A40" s="25"/>
      <c r="B40" s="14"/>
      <c r="C40" s="14"/>
      <c r="D40" s="14"/>
      <c r="E40" s="14"/>
      <c r="F40" s="14"/>
      <c r="G40" s="3"/>
      <c r="J40" s="2"/>
    </row>
    <row r="41" spans="1:10" ht="35.25">
      <c r="A41" s="27" t="s">
        <v>17</v>
      </c>
      <c r="B41" s="11">
        <f>B39+B37+B35+B31</f>
        <v>0</v>
      </c>
      <c r="C41" s="11">
        <f>C39+C37+C35+C31</f>
        <v>0</v>
      </c>
      <c r="D41" s="11">
        <f>D39+D37+D35+D31</f>
        <v>0</v>
      </c>
      <c r="E41" s="11">
        <f>D41-C41</f>
        <v>0</v>
      </c>
      <c r="F41" s="11" t="e">
        <f>E41/C41</f>
        <v>#DIV/0!</v>
      </c>
      <c r="G41" s="3"/>
      <c r="J41" s="2"/>
    </row>
    <row r="42" spans="1:10" ht="34.5">
      <c r="A42" s="28"/>
      <c r="B42" s="16"/>
      <c r="C42" s="16"/>
      <c r="D42" s="16"/>
      <c r="E42" s="16"/>
      <c r="F42" s="16" t="s">
        <v>0</v>
      </c>
      <c r="G42" s="3"/>
      <c r="J42" s="2"/>
    </row>
    <row r="43" spans="1:10" ht="34.5">
      <c r="A43" s="29"/>
      <c r="B43" s="11"/>
      <c r="C43" s="11"/>
      <c r="D43" s="11"/>
      <c r="E43" s="11"/>
      <c r="F43" s="11" t="s">
        <v>0</v>
      </c>
      <c r="G43" s="3"/>
      <c r="J43" s="2"/>
    </row>
    <row r="44" spans="1:10" ht="35.25">
      <c r="A44" s="27" t="s">
        <v>18</v>
      </c>
      <c r="B44" s="11"/>
      <c r="C44" s="11"/>
      <c r="D44" s="11"/>
      <c r="E44" s="11"/>
      <c r="F44" s="11"/>
      <c r="G44" s="3"/>
      <c r="J44" s="2"/>
    </row>
    <row r="45" spans="1:10" ht="34.5">
      <c r="A45" s="24" t="s">
        <v>19</v>
      </c>
      <c r="B45" s="15"/>
      <c r="C45" s="15"/>
      <c r="D45" s="15"/>
      <c r="E45" s="15"/>
      <c r="F45" s="15" t="e">
        <f>E45/C45</f>
        <v>#DIV/0!</v>
      </c>
      <c r="G45" s="3"/>
      <c r="J45" s="2"/>
    </row>
    <row r="46" spans="1:10" ht="34.5">
      <c r="A46" s="25" t="s">
        <v>20</v>
      </c>
      <c r="B46" s="14"/>
      <c r="C46" s="14"/>
      <c r="D46" s="14"/>
      <c r="E46" s="14"/>
      <c r="F46" s="14" t="e">
        <f>E46/C46</f>
        <v>#DIV/0!</v>
      </c>
      <c r="G46" s="3"/>
      <c r="J46" s="2"/>
    </row>
    <row r="47" spans="1:10" ht="34.5">
      <c r="A47" s="25" t="s">
        <v>21</v>
      </c>
      <c r="B47" s="14"/>
      <c r="C47" s="14"/>
      <c r="D47" s="14"/>
      <c r="E47" s="14"/>
      <c r="F47" s="14" t="e">
        <f aca="true" t="shared" si="2" ref="F47:F58">E47/C47</f>
        <v>#DIV/0!</v>
      </c>
      <c r="G47" s="3"/>
      <c r="J47" s="2"/>
    </row>
    <row r="48" spans="1:10" ht="34.5">
      <c r="A48" s="25" t="s">
        <v>49</v>
      </c>
      <c r="B48" s="14"/>
      <c r="C48" s="14"/>
      <c r="D48" s="14"/>
      <c r="E48" s="14"/>
      <c r="F48" s="14" t="e">
        <f t="shared" si="2"/>
        <v>#DIV/0!</v>
      </c>
      <c r="G48" s="3"/>
      <c r="J48" s="2"/>
    </row>
    <row r="49" spans="1:10" ht="34.5">
      <c r="A49" s="25" t="s">
        <v>22</v>
      </c>
      <c r="B49" s="14"/>
      <c r="C49" s="14"/>
      <c r="D49" s="14"/>
      <c r="E49" s="14"/>
      <c r="F49" s="14" t="e">
        <f t="shared" si="2"/>
        <v>#DIV/0!</v>
      </c>
      <c r="G49" s="3"/>
      <c r="J49" s="2"/>
    </row>
    <row r="50" spans="1:10" ht="34.5">
      <c r="A50" s="25" t="s">
        <v>23</v>
      </c>
      <c r="B50" s="14"/>
      <c r="C50" s="14"/>
      <c r="D50" s="14"/>
      <c r="E50" s="14"/>
      <c r="F50" s="14" t="e">
        <f t="shared" si="2"/>
        <v>#DIV/0!</v>
      </c>
      <c r="G50" s="3"/>
      <c r="J50" s="2"/>
    </row>
    <row r="51" spans="1:10" ht="34.5">
      <c r="A51" s="25" t="s">
        <v>24</v>
      </c>
      <c r="B51" s="14"/>
      <c r="C51" s="14"/>
      <c r="D51" s="14"/>
      <c r="E51" s="14"/>
      <c r="F51" s="14" t="e">
        <f t="shared" si="2"/>
        <v>#DIV/0!</v>
      </c>
      <c r="G51" s="3"/>
      <c r="J51" s="2"/>
    </row>
    <row r="52" spans="1:10" ht="34.5">
      <c r="A52" s="25" t="s">
        <v>25</v>
      </c>
      <c r="B52" s="14"/>
      <c r="C52" s="14"/>
      <c r="D52" s="14"/>
      <c r="E52" s="14"/>
      <c r="F52" s="14" t="e">
        <f t="shared" si="2"/>
        <v>#DIV/0!</v>
      </c>
      <c r="G52" s="3"/>
      <c r="J52" s="2"/>
    </row>
    <row r="53" spans="1:10" ht="35.25">
      <c r="A53" s="30" t="s">
        <v>26</v>
      </c>
      <c r="B53" s="14">
        <f>SUM(B45:B52)</f>
        <v>0</v>
      </c>
      <c r="C53" s="14">
        <f>SUM(C45:C52)</f>
        <v>0</v>
      </c>
      <c r="D53" s="14">
        <f>SUM(D45:D52)</f>
        <v>0</v>
      </c>
      <c r="E53" s="16">
        <f>D53-C53</f>
        <v>0</v>
      </c>
      <c r="F53" s="14" t="e">
        <f t="shared" si="2"/>
        <v>#DIV/0!</v>
      </c>
      <c r="G53" s="3"/>
      <c r="J53" s="2"/>
    </row>
    <row r="54" spans="1:10" ht="34.5">
      <c r="A54" s="25" t="s">
        <v>27</v>
      </c>
      <c r="B54" s="14"/>
      <c r="C54" s="14"/>
      <c r="D54" s="14"/>
      <c r="E54" s="14"/>
      <c r="F54" s="14" t="e">
        <f t="shared" si="2"/>
        <v>#DIV/0!</v>
      </c>
      <c r="G54" s="3"/>
      <c r="J54" s="2"/>
    </row>
    <row r="55" spans="1:10" ht="34.5">
      <c r="A55" s="25" t="s">
        <v>28</v>
      </c>
      <c r="B55" s="14"/>
      <c r="C55" s="14"/>
      <c r="D55" s="14"/>
      <c r="E55" s="14"/>
      <c r="F55" s="14" t="e">
        <f t="shared" si="2"/>
        <v>#DIV/0!</v>
      </c>
      <c r="G55" s="3"/>
      <c r="J55" s="2"/>
    </row>
    <row r="56" spans="1:10" ht="34.5">
      <c r="A56" s="25" t="s">
        <v>29</v>
      </c>
      <c r="B56" s="14"/>
      <c r="C56" s="14"/>
      <c r="D56" s="14"/>
      <c r="E56" s="14"/>
      <c r="F56" s="14" t="e">
        <f t="shared" si="2"/>
        <v>#DIV/0!</v>
      </c>
      <c r="G56" s="3"/>
      <c r="J56" s="2"/>
    </row>
    <row r="57" spans="1:10" ht="34.5">
      <c r="A57" s="25" t="s">
        <v>30</v>
      </c>
      <c r="B57" s="14"/>
      <c r="C57" s="14"/>
      <c r="D57" s="14"/>
      <c r="E57" s="14"/>
      <c r="F57" s="14" t="e">
        <f t="shared" si="2"/>
        <v>#DIV/0!</v>
      </c>
      <c r="G57" s="3"/>
      <c r="J57" s="2"/>
    </row>
    <row r="58" spans="1:10" ht="35.25">
      <c r="A58" s="42" t="s">
        <v>31</v>
      </c>
      <c r="B58" s="13">
        <f>B57+B56+B55+B54+B53</f>
        <v>0</v>
      </c>
      <c r="C58" s="13">
        <f>C57+C56+C55+C54+C53</f>
        <v>0</v>
      </c>
      <c r="D58" s="13">
        <f>D57+D56+D55+D54+D53</f>
        <v>0</v>
      </c>
      <c r="E58" s="43">
        <f>D58-C58</f>
        <v>0</v>
      </c>
      <c r="F58" s="13" t="e">
        <f t="shared" si="2"/>
        <v>#DIV/0!</v>
      </c>
      <c r="G58" s="3"/>
      <c r="J58" s="2"/>
    </row>
    <row r="59" spans="1:10" ht="34.5">
      <c r="A59" s="29"/>
      <c r="B59" s="11"/>
      <c r="C59" s="11"/>
      <c r="D59" s="11"/>
      <c r="E59" s="11"/>
      <c r="F59" s="11"/>
      <c r="G59" s="3"/>
      <c r="J59" s="2"/>
    </row>
    <row r="60" spans="1:10" ht="35.25">
      <c r="A60" s="27" t="s">
        <v>32</v>
      </c>
      <c r="B60" s="11"/>
      <c r="C60" s="11"/>
      <c r="D60" s="11"/>
      <c r="E60" s="11"/>
      <c r="F60" s="11"/>
      <c r="G60" s="3"/>
      <c r="J60" s="2"/>
    </row>
    <row r="61" spans="1:10" ht="34.5">
      <c r="A61" s="24" t="s">
        <v>33</v>
      </c>
      <c r="B61" s="15"/>
      <c r="C61" s="15"/>
      <c r="D61" s="15"/>
      <c r="E61" s="15"/>
      <c r="F61" s="15" t="e">
        <f>E61/C61</f>
        <v>#DIV/0!</v>
      </c>
      <c r="G61" s="3"/>
      <c r="J61" s="2"/>
    </row>
    <row r="62" spans="1:10" ht="34.5">
      <c r="A62" s="25" t="s">
        <v>34</v>
      </c>
      <c r="B62" s="14"/>
      <c r="C62" s="14"/>
      <c r="D62" s="14"/>
      <c r="E62" s="14"/>
      <c r="F62" s="14" t="e">
        <f>E62/C62</f>
        <v>#DIV/0!</v>
      </c>
      <c r="G62" s="3"/>
      <c r="J62" s="2"/>
    </row>
    <row r="63" spans="1:10" ht="34.5">
      <c r="A63" s="25" t="s">
        <v>35</v>
      </c>
      <c r="B63" s="14"/>
      <c r="C63" s="14"/>
      <c r="D63" s="14"/>
      <c r="E63" s="14"/>
      <c r="F63" s="14" t="e">
        <f>E63/C63</f>
        <v>#DIV/0!</v>
      </c>
      <c r="G63" s="3"/>
      <c r="J63" s="2"/>
    </row>
    <row r="64" spans="1:10" ht="35.25">
      <c r="A64" s="30" t="s">
        <v>36</v>
      </c>
      <c r="B64" s="16">
        <f>SUM(B61:B63)</f>
        <v>0</v>
      </c>
      <c r="C64" s="16">
        <f>SUM(C61:C63)</f>
        <v>0</v>
      </c>
      <c r="D64" s="16">
        <f>SUM(D61:D63)</f>
        <v>0</v>
      </c>
      <c r="E64" s="16">
        <f aca="true" t="shared" si="3" ref="E64:E78">D64-C64</f>
        <v>0</v>
      </c>
      <c r="F64" s="16" t="e">
        <f>E64/C64</f>
        <v>#DIV/0!</v>
      </c>
      <c r="G64" s="3"/>
      <c r="J64" s="2"/>
    </row>
    <row r="65" spans="1:10" ht="34.5">
      <c r="A65" s="25" t="s">
        <v>37</v>
      </c>
      <c r="B65" s="14"/>
      <c r="C65" s="14"/>
      <c r="D65" s="14"/>
      <c r="E65" s="14">
        <f t="shared" si="3"/>
        <v>0</v>
      </c>
      <c r="F65" s="14" t="e">
        <f>E65/C65</f>
        <v>#DIV/0!</v>
      </c>
      <c r="G65" s="3"/>
      <c r="J65" s="2"/>
    </row>
    <row r="66" spans="1:10" ht="34.5">
      <c r="A66" s="25" t="s">
        <v>38</v>
      </c>
      <c r="B66" s="14"/>
      <c r="C66" s="14"/>
      <c r="D66" s="14"/>
      <c r="E66" s="14">
        <f t="shared" si="3"/>
        <v>0</v>
      </c>
      <c r="F66" s="14" t="e">
        <f>E66/D66</f>
        <v>#DIV/0!</v>
      </c>
      <c r="G66" s="3"/>
      <c r="J66" s="2"/>
    </row>
    <row r="67" spans="1:10" ht="34.5">
      <c r="A67" s="25" t="s">
        <v>39</v>
      </c>
      <c r="B67" s="14"/>
      <c r="C67" s="14"/>
      <c r="D67" s="14"/>
      <c r="E67" s="14">
        <f t="shared" si="3"/>
        <v>0</v>
      </c>
      <c r="F67" s="14" t="e">
        <f>E67/C67</f>
        <v>#DIV/0!</v>
      </c>
      <c r="G67" s="3"/>
      <c r="J67" s="2"/>
    </row>
    <row r="68" spans="1:10" ht="35.25">
      <c r="A68" s="22" t="s">
        <v>40</v>
      </c>
      <c r="B68" s="14">
        <f>SUM(B65:B67)</f>
        <v>0</v>
      </c>
      <c r="C68" s="14">
        <f>SUM(C65:C67)</f>
        <v>0</v>
      </c>
      <c r="D68" s="14">
        <f>SUM(D65:D67)</f>
        <v>0</v>
      </c>
      <c r="E68" s="14">
        <f t="shared" si="3"/>
        <v>0</v>
      </c>
      <c r="F68" s="14" t="e">
        <f>-E68/C68</f>
        <v>#DIV/0!</v>
      </c>
      <c r="G68" s="3"/>
      <c r="J68" s="2"/>
    </row>
    <row r="69" spans="1:10" ht="34.5">
      <c r="A69" s="25" t="s">
        <v>41</v>
      </c>
      <c r="B69" s="14"/>
      <c r="C69" s="14"/>
      <c r="D69" s="14"/>
      <c r="E69" s="14">
        <f t="shared" si="3"/>
        <v>0</v>
      </c>
      <c r="F69" s="14" t="e">
        <f aca="true" t="shared" si="4" ref="F69:F78">E69/C69</f>
        <v>#DIV/0!</v>
      </c>
      <c r="G69" s="3"/>
      <c r="J69" s="2"/>
    </row>
    <row r="70" spans="1:10" ht="34.5">
      <c r="A70" s="25" t="s">
        <v>42</v>
      </c>
      <c r="B70" s="14"/>
      <c r="C70" s="14"/>
      <c r="D70" s="14"/>
      <c r="E70" s="14">
        <f t="shared" si="3"/>
        <v>0</v>
      </c>
      <c r="F70" s="14" t="e">
        <f t="shared" si="4"/>
        <v>#DIV/0!</v>
      </c>
      <c r="G70" s="3"/>
      <c r="J70" s="2"/>
    </row>
    <row r="71" spans="1:10" ht="34.5">
      <c r="A71" s="25" t="s">
        <v>43</v>
      </c>
      <c r="B71" s="14"/>
      <c r="C71" s="14"/>
      <c r="D71" s="14"/>
      <c r="E71" s="14">
        <f t="shared" si="3"/>
        <v>0</v>
      </c>
      <c r="F71" s="14" t="e">
        <f t="shared" si="4"/>
        <v>#DIV/0!</v>
      </c>
      <c r="G71" s="3"/>
      <c r="J71" s="2"/>
    </row>
    <row r="72" spans="1:10" ht="34.5">
      <c r="A72" s="25" t="s">
        <v>44</v>
      </c>
      <c r="B72" s="14"/>
      <c r="C72" s="14"/>
      <c r="D72" s="14"/>
      <c r="E72" s="14">
        <f t="shared" si="3"/>
        <v>0</v>
      </c>
      <c r="F72" s="14" t="e">
        <f t="shared" si="4"/>
        <v>#DIV/0!</v>
      </c>
      <c r="G72" s="3"/>
      <c r="J72" s="2"/>
    </row>
    <row r="73" spans="1:10" ht="35.25">
      <c r="A73" s="22" t="s">
        <v>45</v>
      </c>
      <c r="B73" s="14">
        <f>SUM(B69:B72)</f>
        <v>0</v>
      </c>
      <c r="C73" s="14">
        <f>SUM(C69:C72)</f>
        <v>0</v>
      </c>
      <c r="D73" s="14">
        <f>SUM(D69:D72)</f>
        <v>0</v>
      </c>
      <c r="E73" s="14">
        <f t="shared" si="3"/>
        <v>0</v>
      </c>
      <c r="F73" s="14" t="e">
        <f t="shared" si="4"/>
        <v>#DIV/0!</v>
      </c>
      <c r="G73" s="3"/>
      <c r="J73" s="2"/>
    </row>
    <row r="74" spans="1:10" ht="34.5">
      <c r="A74" s="25" t="s">
        <v>57</v>
      </c>
      <c r="B74" s="14"/>
      <c r="C74" s="14"/>
      <c r="D74" s="14"/>
      <c r="E74" s="14">
        <f t="shared" si="3"/>
        <v>0</v>
      </c>
      <c r="F74" s="14" t="e">
        <f t="shared" si="4"/>
        <v>#DIV/0!</v>
      </c>
      <c r="G74" s="3"/>
      <c r="J74" s="2"/>
    </row>
    <row r="75" spans="1:10" ht="34.5">
      <c r="A75" s="25" t="s">
        <v>46</v>
      </c>
      <c r="B75" s="14"/>
      <c r="C75" s="14"/>
      <c r="D75" s="14"/>
      <c r="E75" s="14">
        <f t="shared" si="3"/>
        <v>0</v>
      </c>
      <c r="F75" s="14" t="e">
        <f t="shared" si="4"/>
        <v>#DIV/0!</v>
      </c>
      <c r="G75" s="3"/>
      <c r="J75" s="2"/>
    </row>
    <row r="76" spans="1:10" ht="34.5">
      <c r="A76" s="40" t="s">
        <v>47</v>
      </c>
      <c r="B76" s="14"/>
      <c r="C76" s="14"/>
      <c r="D76" s="14"/>
      <c r="E76" s="14">
        <f t="shared" si="3"/>
        <v>0</v>
      </c>
      <c r="F76" s="14" t="e">
        <f t="shared" si="4"/>
        <v>#DIV/0!</v>
      </c>
      <c r="G76" s="3"/>
      <c r="J76" s="2"/>
    </row>
    <row r="77" spans="1:10" ht="35.25">
      <c r="A77" s="41" t="s">
        <v>48</v>
      </c>
      <c r="B77" s="13">
        <f>SUM(B74:B76)</f>
        <v>0</v>
      </c>
      <c r="C77" s="13">
        <f>SUM(C74:C76)</f>
        <v>0</v>
      </c>
      <c r="D77" s="13">
        <f>SUM(D74:D76)</f>
        <v>0</v>
      </c>
      <c r="E77" s="13">
        <f t="shared" si="3"/>
        <v>0</v>
      </c>
      <c r="F77" s="13" t="e">
        <f t="shared" si="4"/>
        <v>#DIV/0!</v>
      </c>
      <c r="G77" s="3"/>
      <c r="J77" s="2"/>
    </row>
    <row r="78" spans="1:10" ht="35.25">
      <c r="A78" s="42" t="s">
        <v>31</v>
      </c>
      <c r="B78" s="47">
        <f>B77+B73+B68+B64</f>
        <v>0</v>
      </c>
      <c r="C78" s="47">
        <f>C77+C73+C68+C64</f>
        <v>0</v>
      </c>
      <c r="D78" s="47">
        <f>D77+D73+D68+D64</f>
        <v>0</v>
      </c>
      <c r="E78" s="47">
        <f t="shared" si="3"/>
        <v>0</v>
      </c>
      <c r="F78" s="13" t="e">
        <f t="shared" si="4"/>
        <v>#DIV/0!</v>
      </c>
      <c r="G78" s="3"/>
      <c r="J78" s="2"/>
    </row>
    <row r="79" spans="1:10" ht="25.5">
      <c r="A79" s="17"/>
      <c r="B79" s="17"/>
      <c r="C79" s="17"/>
      <c r="D79" s="17"/>
      <c r="E79" s="17"/>
      <c r="F79" s="17" t="s">
        <v>0</v>
      </c>
      <c r="G79" s="2"/>
      <c r="H79" s="2"/>
      <c r="I79" s="2"/>
      <c r="J79" s="2"/>
    </row>
    <row r="80" s="33" customFormat="1" ht="44.25">
      <c r="A80" s="33" t="s">
        <v>72</v>
      </c>
    </row>
    <row r="81" spans="1:6" s="33" customFormat="1" ht="44.25">
      <c r="A81" s="33" t="s">
        <v>58</v>
      </c>
      <c r="F81" s="34"/>
    </row>
    <row r="82" spans="1:6" s="33" customFormat="1" ht="44.25">
      <c r="A82" s="33" t="s">
        <v>0</v>
      </c>
      <c r="F82" s="34"/>
    </row>
    <row r="83" spans="1:6" s="33" customFormat="1" ht="45">
      <c r="A83" s="31" t="s">
        <v>76</v>
      </c>
      <c r="F83" s="34"/>
    </row>
    <row r="84" spans="1:10" ht="44.25">
      <c r="A84" s="33" t="s">
        <v>77</v>
      </c>
      <c r="B84" s="9"/>
      <c r="C84" s="9"/>
      <c r="D84" s="9"/>
      <c r="E84" s="9"/>
      <c r="F84" s="10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4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4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4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4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4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4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4"/>
      <c r="G91" s="2"/>
      <c r="H91" s="2"/>
      <c r="I91" s="2"/>
      <c r="J91" s="2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35" zoomScaleNormal="35" zoomScalePageLayoutView="0" workbookViewId="0" topLeftCell="A34">
      <selection activeCell="A76" sqref="A76"/>
    </sheetView>
  </sheetViews>
  <sheetFormatPr defaultColWidth="66.4453125" defaultRowHeight="15"/>
  <cols>
    <col min="1" max="1" width="255.77734375" style="56" bestFit="1" customWidth="1"/>
    <col min="2" max="2" width="61.99609375" style="51" bestFit="1" customWidth="1"/>
    <col min="3" max="4" width="67.77734375" style="51" bestFit="1" customWidth="1"/>
    <col min="5" max="5" width="73.4453125" style="51" customWidth="1"/>
    <col min="6" max="6" width="48.99609375" style="57" bestFit="1" customWidth="1"/>
    <col min="7" max="16384" width="66.4453125" style="56" customWidth="1"/>
  </cols>
  <sheetData>
    <row r="1" spans="1:6" ht="91.5">
      <c r="A1" s="50" t="s">
        <v>3</v>
      </c>
      <c r="B1" s="56"/>
      <c r="C1" s="55"/>
      <c r="D1" s="102" t="s">
        <v>6</v>
      </c>
      <c r="E1" s="55" t="s">
        <v>173</v>
      </c>
      <c r="F1" s="123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77361807</v>
      </c>
      <c r="C8" s="74">
        <v>77361807</v>
      </c>
      <c r="D8" s="74">
        <v>86099095</v>
      </c>
      <c r="E8" s="74">
        <f>D8-C8</f>
        <v>8737288</v>
      </c>
      <c r="F8" s="75">
        <f aca="true" t="shared" si="0" ref="F8:F23">IF(ISERROR(E8/C8),0,(E8/C8))</f>
        <v>0.11294058837069305</v>
      </c>
    </row>
    <row r="9" spans="1:6" ht="91.5">
      <c r="A9" s="76" t="s">
        <v>60</v>
      </c>
      <c r="B9" s="74">
        <f>SUM(B10:B22)</f>
        <v>6144438</v>
      </c>
      <c r="C9" s="74">
        <f>SUM(C10:C22)</f>
        <v>6144438</v>
      </c>
      <c r="D9" s="74">
        <f>SUM(D10:D22)</f>
        <v>5839460</v>
      </c>
      <c r="E9" s="74">
        <f>SUM(E10:E21)</f>
        <v>-304978</v>
      </c>
      <c r="F9" s="75">
        <f t="shared" si="0"/>
        <v>-0.049634807935241596</v>
      </c>
    </row>
    <row r="10" spans="1:6" ht="91.5">
      <c r="A10" s="77" t="s">
        <v>61</v>
      </c>
      <c r="B10" s="78">
        <v>435835</v>
      </c>
      <c r="C10" s="78">
        <v>435835</v>
      </c>
      <c r="D10" s="78">
        <v>0</v>
      </c>
      <c r="E10" s="78">
        <f aca="true" t="shared" si="1" ref="E10:E22">D10-C10</f>
        <v>-435835</v>
      </c>
      <c r="F10" s="79">
        <f t="shared" si="0"/>
        <v>-1</v>
      </c>
    </row>
    <row r="11" spans="1:6" ht="91.5">
      <c r="A11" s="80" t="s">
        <v>62</v>
      </c>
      <c r="B11" s="78">
        <v>3127453</v>
      </c>
      <c r="C11" s="78">
        <v>3127453</v>
      </c>
      <c r="D11" s="78">
        <v>3295422</v>
      </c>
      <c r="E11" s="78">
        <f t="shared" si="1"/>
        <v>167969</v>
      </c>
      <c r="F11" s="79">
        <f t="shared" si="0"/>
        <v>0.05370792142999431</v>
      </c>
    </row>
    <row r="12" spans="1:6" ht="91.5">
      <c r="A12" s="80" t="s">
        <v>65</v>
      </c>
      <c r="B12" s="78">
        <v>2581150</v>
      </c>
      <c r="C12" s="78">
        <v>2581150</v>
      </c>
      <c r="D12" s="78">
        <v>2544038</v>
      </c>
      <c r="E12" s="78">
        <f t="shared" si="1"/>
        <v>-37112</v>
      </c>
      <c r="F12" s="79">
        <f t="shared" si="0"/>
        <v>-0.014378087286674545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 aca="true" t="shared" si="2" ref="F24:F30">IF(ISERROR(E24/C24),0,(E24/C24))</f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2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2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2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2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 t="shared" si="2"/>
        <v>0</v>
      </c>
    </row>
    <row r="30" spans="1:6" ht="91.5">
      <c r="A30" s="76" t="s">
        <v>14</v>
      </c>
      <c r="B30" s="85">
        <f>B29+B28+B27+B25+B24+B9+B8</f>
        <v>83506245</v>
      </c>
      <c r="C30" s="86">
        <f>C29+C28+C27+C25+C24+C9+C8</f>
        <v>83506245</v>
      </c>
      <c r="D30" s="86">
        <f>D29+D28+D27+D25+D24+D9+D8</f>
        <v>91938555</v>
      </c>
      <c r="E30" s="86">
        <f>D30-C30</f>
        <v>8432310</v>
      </c>
      <c r="F30" s="87">
        <f t="shared" si="2"/>
        <v>0.10097819630136644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>IF(ISERROR(E32/C32),0,(E32/C32))</f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>IF(ISERROR(E34/C34),0,(E34/C34))</f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5462586</v>
      </c>
      <c r="C36" s="74">
        <v>5467967</v>
      </c>
      <c r="D36" s="74">
        <v>5767967</v>
      </c>
      <c r="E36" s="74">
        <f>D36-C36</f>
        <v>300000</v>
      </c>
      <c r="F36" s="75">
        <f>IF(ISERROR(E36/C36),0,(E36/C36))</f>
        <v>0.054864998270838135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8604817</v>
      </c>
      <c r="C38" s="74">
        <v>12018275</v>
      </c>
      <c r="D38" s="74">
        <v>12018275</v>
      </c>
      <c r="E38" s="74">
        <f>D38-C38</f>
        <v>0</v>
      </c>
      <c r="F38" s="75">
        <f>IF(ISERROR(E38/C38),0,(E38/C38))</f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97573648</v>
      </c>
      <c r="C40" s="120">
        <f>C38+C36+C34+C30</f>
        <v>100992487</v>
      </c>
      <c r="D40" s="120">
        <f>D38+D36+D34+D30</f>
        <v>109724797</v>
      </c>
      <c r="E40" s="120">
        <f>D40-C40</f>
        <v>8732310</v>
      </c>
      <c r="F40" s="121">
        <f>IF(ISERROR(E40/C40),0,(E40/C40))</f>
        <v>0.08646494664499152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0</v>
      </c>
      <c r="C42" s="78">
        <v>0</v>
      </c>
      <c r="D42" s="78">
        <v>0</v>
      </c>
      <c r="E42" s="78">
        <f aca="true" t="shared" si="3" ref="E42:E49">D42-C42</f>
        <v>0</v>
      </c>
      <c r="F42" s="92">
        <f aca="true" t="shared" si="4" ref="F42:F55">IF(ISERROR(E42/C42),0,(E42/C42))</f>
        <v>0</v>
      </c>
    </row>
    <row r="43" spans="1:6" ht="91.5">
      <c r="A43" s="80" t="s">
        <v>20</v>
      </c>
      <c r="B43" s="78">
        <v>45750565</v>
      </c>
      <c r="C43" s="78">
        <v>45841268</v>
      </c>
      <c r="D43" s="78">
        <v>50038537</v>
      </c>
      <c r="E43" s="78">
        <f t="shared" si="3"/>
        <v>4197269</v>
      </c>
      <c r="F43" s="90">
        <f t="shared" si="4"/>
        <v>0.09156092715410927</v>
      </c>
    </row>
    <row r="44" spans="1:6" ht="91.5">
      <c r="A44" s="80" t="s">
        <v>21</v>
      </c>
      <c r="B44" s="78">
        <v>34252742</v>
      </c>
      <c r="C44" s="78">
        <v>37941819</v>
      </c>
      <c r="D44" s="78">
        <v>41042209</v>
      </c>
      <c r="E44" s="78">
        <f t="shared" si="3"/>
        <v>3100390</v>
      </c>
      <c r="F44" s="90">
        <f t="shared" si="4"/>
        <v>0.08171432160382189</v>
      </c>
    </row>
    <row r="45" spans="1:6" ht="91.5">
      <c r="A45" s="80" t="s">
        <v>49</v>
      </c>
      <c r="B45" s="78">
        <v>3468471</v>
      </c>
      <c r="C45" s="78">
        <v>3127153</v>
      </c>
      <c r="D45" s="78">
        <v>3643917</v>
      </c>
      <c r="E45" s="78">
        <f t="shared" si="3"/>
        <v>516764</v>
      </c>
      <c r="F45" s="90">
        <f t="shared" si="4"/>
        <v>0.16525062892669468</v>
      </c>
    </row>
    <row r="46" spans="1:6" ht="91.5">
      <c r="A46" s="80" t="s">
        <v>22</v>
      </c>
      <c r="B46" s="78">
        <v>0</v>
      </c>
      <c r="C46" s="78">
        <v>0</v>
      </c>
      <c r="D46" s="78">
        <v>0</v>
      </c>
      <c r="E46" s="78">
        <f t="shared" si="3"/>
        <v>0</v>
      </c>
      <c r="F46" s="90">
        <f t="shared" si="4"/>
        <v>0</v>
      </c>
    </row>
    <row r="47" spans="1:6" ht="91.5">
      <c r="A47" s="80" t="s">
        <v>23</v>
      </c>
      <c r="B47" s="78">
        <v>9758016</v>
      </c>
      <c r="C47" s="78">
        <v>10173335</v>
      </c>
      <c r="D47" s="78">
        <v>10816927</v>
      </c>
      <c r="E47" s="78">
        <f t="shared" si="3"/>
        <v>643592</v>
      </c>
      <c r="F47" s="90">
        <f t="shared" si="4"/>
        <v>0.06326263708017085</v>
      </c>
    </row>
    <row r="48" spans="1:6" ht="91.5">
      <c r="A48" s="80" t="s">
        <v>24</v>
      </c>
      <c r="B48" s="78">
        <v>0</v>
      </c>
      <c r="C48" s="78">
        <v>0</v>
      </c>
      <c r="D48" s="78">
        <v>0</v>
      </c>
      <c r="E48" s="78">
        <f t="shared" si="3"/>
        <v>0</v>
      </c>
      <c r="F48" s="90">
        <f t="shared" si="4"/>
        <v>0</v>
      </c>
    </row>
    <row r="49" spans="1:6" ht="91.5">
      <c r="A49" s="80" t="s">
        <v>25</v>
      </c>
      <c r="B49" s="78">
        <v>4130045</v>
      </c>
      <c r="C49" s="78">
        <v>3908912</v>
      </c>
      <c r="D49" s="78">
        <v>4183207</v>
      </c>
      <c r="E49" s="78">
        <f t="shared" si="3"/>
        <v>274295</v>
      </c>
      <c r="F49" s="90">
        <f t="shared" si="4"/>
        <v>0.0701716999512908</v>
      </c>
    </row>
    <row r="50" spans="1:6" ht="91.5">
      <c r="A50" s="93" t="s">
        <v>26</v>
      </c>
      <c r="B50" s="83">
        <f>SUM(B42:B49)</f>
        <v>97359839</v>
      </c>
      <c r="C50" s="83">
        <f>SUM(C42:C49)</f>
        <v>100992487</v>
      </c>
      <c r="D50" s="83">
        <f>SUM(D42:D49)</f>
        <v>109724797</v>
      </c>
      <c r="E50" s="74">
        <f>SUM(E42:E49)</f>
        <v>8732310</v>
      </c>
      <c r="F50" s="87">
        <f t="shared" si="4"/>
        <v>0.08646494664499152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>D51-C51</f>
        <v>0</v>
      </c>
      <c r="F51" s="90">
        <f t="shared" si="4"/>
        <v>0</v>
      </c>
    </row>
    <row r="52" spans="1:6" ht="91.5">
      <c r="A52" s="80" t="s">
        <v>28</v>
      </c>
      <c r="B52" s="78">
        <v>213809</v>
      </c>
      <c r="C52" s="78">
        <v>0</v>
      </c>
      <c r="D52" s="78">
        <v>0</v>
      </c>
      <c r="E52" s="78">
        <f>D52-C52</f>
        <v>0</v>
      </c>
      <c r="F52" s="90">
        <f t="shared" si="4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f t="shared" si="4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>D54-C54</f>
        <v>0</v>
      </c>
      <c r="F54" s="90">
        <f t="shared" si="4"/>
        <v>0</v>
      </c>
    </row>
    <row r="55" spans="1:6" ht="91.5">
      <c r="A55" s="94" t="s">
        <v>31</v>
      </c>
      <c r="B55" s="85">
        <f>B54+B53+B52+B51+B50</f>
        <v>97573648</v>
      </c>
      <c r="C55" s="85">
        <f>C54+C53+C52+C51+C50</f>
        <v>100992487</v>
      </c>
      <c r="D55" s="85">
        <f>D54+D53+D52+D51+D50</f>
        <v>109724797</v>
      </c>
      <c r="E55" s="85">
        <f>D55-C55</f>
        <v>8732310</v>
      </c>
      <c r="F55" s="95">
        <f t="shared" si="4"/>
        <v>0.08646494664499152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53883814</v>
      </c>
      <c r="C57" s="78">
        <v>53103846</v>
      </c>
      <c r="D57" s="78">
        <v>59654390</v>
      </c>
      <c r="E57" s="78">
        <f aca="true" t="shared" si="5" ref="E57:E74">D57-C57</f>
        <v>6550544</v>
      </c>
      <c r="F57" s="92">
        <f aca="true" t="shared" si="6" ref="F57:F74">IF(ISERROR(E57/C57),0,(E57/C57))</f>
        <v>0.12335347613052358</v>
      </c>
    </row>
    <row r="58" spans="1:6" ht="91.5">
      <c r="A58" s="80" t="s">
        <v>34</v>
      </c>
      <c r="B58" s="78">
        <v>1803341</v>
      </c>
      <c r="C58" s="78">
        <v>2349299</v>
      </c>
      <c r="D58" s="78">
        <v>2390682</v>
      </c>
      <c r="E58" s="78">
        <f t="shared" si="5"/>
        <v>41383</v>
      </c>
      <c r="F58" s="90">
        <f t="shared" si="6"/>
        <v>0.0176150417635218</v>
      </c>
    </row>
    <row r="59" spans="1:6" ht="91.5">
      <c r="A59" s="80" t="s">
        <v>35</v>
      </c>
      <c r="B59" s="78">
        <v>18062743</v>
      </c>
      <c r="C59" s="78">
        <v>19822460</v>
      </c>
      <c r="D59" s="78">
        <v>21258771</v>
      </c>
      <c r="E59" s="78">
        <f t="shared" si="5"/>
        <v>1436311</v>
      </c>
      <c r="F59" s="90">
        <f t="shared" si="6"/>
        <v>0.07245876646995378</v>
      </c>
    </row>
    <row r="60" spans="1:6" ht="91.5">
      <c r="A60" s="93" t="s">
        <v>36</v>
      </c>
      <c r="B60" s="96">
        <f>SUM(B57:B59)</f>
        <v>73749898</v>
      </c>
      <c r="C60" s="96">
        <f>SUM(C57:C59)</f>
        <v>75275605</v>
      </c>
      <c r="D60" s="96">
        <f>SUM(D57:D59)</f>
        <v>83303843</v>
      </c>
      <c r="E60" s="96">
        <f t="shared" si="5"/>
        <v>8028238</v>
      </c>
      <c r="F60" s="97">
        <f t="shared" si="6"/>
        <v>0.10665125839905239</v>
      </c>
    </row>
    <row r="61" spans="1:6" ht="91.5">
      <c r="A61" s="80" t="s">
        <v>37</v>
      </c>
      <c r="B61" s="78">
        <v>2126013</v>
      </c>
      <c r="C61" s="78">
        <v>2366429</v>
      </c>
      <c r="D61" s="78">
        <v>2437365</v>
      </c>
      <c r="E61" s="78">
        <f t="shared" si="5"/>
        <v>70936</v>
      </c>
      <c r="F61" s="90">
        <f t="shared" si="6"/>
        <v>0.02997596800918177</v>
      </c>
    </row>
    <row r="62" spans="1:6" ht="91.5">
      <c r="A62" s="80" t="s">
        <v>38</v>
      </c>
      <c r="B62" s="78">
        <v>7355982</v>
      </c>
      <c r="C62" s="78">
        <v>11199355</v>
      </c>
      <c r="D62" s="78">
        <v>11601451</v>
      </c>
      <c r="E62" s="78">
        <f t="shared" si="5"/>
        <v>402096</v>
      </c>
      <c r="F62" s="90">
        <f t="shared" si="6"/>
        <v>0.03590349622813099</v>
      </c>
    </row>
    <row r="63" spans="1:6" ht="91.5">
      <c r="A63" s="80" t="s">
        <v>39</v>
      </c>
      <c r="B63" s="78">
        <v>5905643</v>
      </c>
      <c r="C63" s="78">
        <v>7238873</v>
      </c>
      <c r="D63" s="78">
        <v>7173249</v>
      </c>
      <c r="E63" s="78">
        <f t="shared" si="5"/>
        <v>-65624</v>
      </c>
      <c r="F63" s="90">
        <f t="shared" si="6"/>
        <v>-0.009065499560497884</v>
      </c>
    </row>
    <row r="64" spans="1:6" ht="91.5">
      <c r="A64" s="76" t="s">
        <v>40</v>
      </c>
      <c r="B64" s="83">
        <f>SUM(B61:B63)</f>
        <v>15387638</v>
      </c>
      <c r="C64" s="83">
        <f>SUM(C61:C63)</f>
        <v>20804657</v>
      </c>
      <c r="D64" s="83">
        <f>SUM(D61:D63)</f>
        <v>21212065</v>
      </c>
      <c r="E64" s="83">
        <f t="shared" si="5"/>
        <v>407408</v>
      </c>
      <c r="F64" s="87">
        <f t="shared" si="6"/>
        <v>0.0195825386594934</v>
      </c>
    </row>
    <row r="65" spans="1:6" ht="91.5">
      <c r="A65" s="80" t="s">
        <v>41</v>
      </c>
      <c r="B65" s="78">
        <v>794233</v>
      </c>
      <c r="C65" s="78">
        <v>296658</v>
      </c>
      <c r="D65" s="78">
        <v>293359</v>
      </c>
      <c r="E65" s="78">
        <f t="shared" si="5"/>
        <v>-3299</v>
      </c>
      <c r="F65" s="90">
        <f t="shared" si="6"/>
        <v>-0.01112054958908912</v>
      </c>
    </row>
    <row r="66" spans="1:6" ht="91.5">
      <c r="A66" s="80" t="s">
        <v>42</v>
      </c>
      <c r="B66" s="78">
        <v>367171</v>
      </c>
      <c r="C66" s="78">
        <v>788592</v>
      </c>
      <c r="D66" s="78">
        <v>642573</v>
      </c>
      <c r="E66" s="78">
        <f t="shared" si="5"/>
        <v>-146019</v>
      </c>
      <c r="F66" s="90">
        <f t="shared" si="6"/>
        <v>-0.18516419136892082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5"/>
        <v>0</v>
      </c>
      <c r="F67" s="90">
        <f t="shared" si="6"/>
        <v>0</v>
      </c>
    </row>
    <row r="68" spans="1:6" ht="91.5">
      <c r="A68" s="80" t="s">
        <v>44</v>
      </c>
      <c r="B68" s="78">
        <v>2325471</v>
      </c>
      <c r="C68" s="78">
        <v>2325471</v>
      </c>
      <c r="D68" s="78">
        <v>2567216</v>
      </c>
      <c r="E68" s="78">
        <f t="shared" si="5"/>
        <v>241745</v>
      </c>
      <c r="F68" s="90">
        <f t="shared" si="6"/>
        <v>0.10395528475736743</v>
      </c>
    </row>
    <row r="69" spans="1:6" ht="91.5">
      <c r="A69" s="76" t="s">
        <v>45</v>
      </c>
      <c r="B69" s="85">
        <f>SUM(B65:B68)</f>
        <v>3486875</v>
      </c>
      <c r="C69" s="85">
        <f>SUM(C65:C68)</f>
        <v>3410721</v>
      </c>
      <c r="D69" s="85">
        <f>SUM(D65:D68)</f>
        <v>3503148</v>
      </c>
      <c r="E69" s="85">
        <f t="shared" si="5"/>
        <v>92427</v>
      </c>
      <c r="F69" s="87">
        <f t="shared" si="6"/>
        <v>0.027098962360157866</v>
      </c>
    </row>
    <row r="70" spans="1:6" ht="91.5">
      <c r="A70" s="80" t="s">
        <v>57</v>
      </c>
      <c r="B70" s="78">
        <v>4735428</v>
      </c>
      <c r="C70" s="78">
        <v>1501504</v>
      </c>
      <c r="D70" s="78">
        <v>1705741</v>
      </c>
      <c r="E70" s="78">
        <f t="shared" si="5"/>
        <v>204237</v>
      </c>
      <c r="F70" s="90">
        <f t="shared" si="6"/>
        <v>0.13602161566003154</v>
      </c>
    </row>
    <row r="71" spans="1:6" ht="91.5">
      <c r="A71" s="80" t="s">
        <v>46</v>
      </c>
      <c r="B71" s="78">
        <v>0</v>
      </c>
      <c r="C71" s="78">
        <v>0</v>
      </c>
      <c r="D71" s="78">
        <v>0</v>
      </c>
      <c r="E71" s="78">
        <f t="shared" si="5"/>
        <v>0</v>
      </c>
      <c r="F71" s="90">
        <f t="shared" si="6"/>
        <v>0</v>
      </c>
    </row>
    <row r="72" spans="1:6" ht="91.5">
      <c r="A72" s="98" t="s">
        <v>47</v>
      </c>
      <c r="B72" s="78">
        <v>213809</v>
      </c>
      <c r="C72" s="78">
        <v>0</v>
      </c>
      <c r="D72" s="78">
        <v>0</v>
      </c>
      <c r="E72" s="78">
        <f t="shared" si="5"/>
        <v>0</v>
      </c>
      <c r="F72" s="90">
        <f t="shared" si="6"/>
        <v>0</v>
      </c>
    </row>
    <row r="73" spans="1:6" ht="91.5">
      <c r="A73" s="99" t="s">
        <v>48</v>
      </c>
      <c r="B73" s="85">
        <f>SUM(B70:B72)</f>
        <v>4949237</v>
      </c>
      <c r="C73" s="85">
        <f>SUM(C70:C72)</f>
        <v>1501504</v>
      </c>
      <c r="D73" s="85">
        <f>SUM(D70:D72)</f>
        <v>1705741</v>
      </c>
      <c r="E73" s="85">
        <f t="shared" si="5"/>
        <v>204237</v>
      </c>
      <c r="F73" s="95">
        <f t="shared" si="6"/>
        <v>0.13602161566003154</v>
      </c>
    </row>
    <row r="74" spans="1:6" ht="91.5">
      <c r="A74" s="94" t="s">
        <v>31</v>
      </c>
      <c r="B74" s="85">
        <f>B73+B69+B64+B60</f>
        <v>97573648</v>
      </c>
      <c r="C74" s="85">
        <f>C73+C69+C64+C60</f>
        <v>100992487</v>
      </c>
      <c r="D74" s="85">
        <f>D73+D69+D64+D60</f>
        <v>109724797</v>
      </c>
      <c r="E74" s="85">
        <f t="shared" si="5"/>
        <v>8732310</v>
      </c>
      <c r="F74" s="95">
        <f t="shared" si="6"/>
        <v>0.08646494664499152</v>
      </c>
    </row>
    <row r="75" ht="91.5">
      <c r="A75" s="56" t="s">
        <v>186</v>
      </c>
    </row>
    <row r="76" ht="91.5">
      <c r="F76" s="100"/>
    </row>
    <row r="77" spans="1:6" ht="91.5">
      <c r="A77" s="56" t="s">
        <v>0</v>
      </c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="35" zoomScaleNormal="35" zoomScalePageLayoutView="0" workbookViewId="0" topLeftCell="A34">
      <selection activeCell="B76" sqref="A76:IV76"/>
    </sheetView>
  </sheetViews>
  <sheetFormatPr defaultColWidth="69.3359375" defaultRowHeight="15"/>
  <cols>
    <col min="1" max="1" width="255.77734375" style="56" bestFit="1" customWidth="1"/>
    <col min="2" max="4" width="61.99609375" style="51" bestFit="1" customWidth="1"/>
    <col min="5" max="5" width="70.88671875" style="51" bestFit="1" customWidth="1"/>
    <col min="6" max="6" width="60.10546875" style="57" bestFit="1" customWidth="1"/>
    <col min="7" max="16384" width="69.3359375" style="56" customWidth="1"/>
  </cols>
  <sheetData>
    <row r="1" spans="1:6" ht="91.5">
      <c r="A1" s="50" t="s">
        <v>3</v>
      </c>
      <c r="B1" s="56"/>
      <c r="C1" s="56"/>
      <c r="D1" s="102"/>
      <c r="E1" s="102" t="s">
        <v>6</v>
      </c>
      <c r="F1" s="55" t="s">
        <v>185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12231832</v>
      </c>
      <c r="C8" s="74">
        <v>12231832</v>
      </c>
      <c r="D8" s="74">
        <v>16193482</v>
      </c>
      <c r="E8" s="74">
        <f>D8-C8</f>
        <v>3961650</v>
      </c>
      <c r="F8" s="75">
        <f aca="true" t="shared" si="0" ref="F8:F23">IF(ISERROR(E8/C8),0,(E8/C8))</f>
        <v>0.32388034760451256</v>
      </c>
    </row>
    <row r="9" spans="1:6" ht="91.5">
      <c r="A9" s="76" t="s">
        <v>60</v>
      </c>
      <c r="B9" s="74">
        <f>SUM(B10:B22)</f>
        <v>144056</v>
      </c>
      <c r="C9" s="74">
        <f>SUM(C10:C22)</f>
        <v>144056</v>
      </c>
      <c r="D9" s="74">
        <f>SUM(D10:D22)</f>
        <v>106734</v>
      </c>
      <c r="E9" s="74">
        <f>SUM(E10:E21)</f>
        <v>-37322</v>
      </c>
      <c r="F9" s="75">
        <f t="shared" si="0"/>
        <v>-0.2590798022991059</v>
      </c>
    </row>
    <row r="10" spans="1:6" ht="91.5">
      <c r="A10" s="77" t="s">
        <v>61</v>
      </c>
      <c r="B10" s="78">
        <v>44026</v>
      </c>
      <c r="C10" s="78">
        <v>44026</v>
      </c>
      <c r="D10" s="78">
        <v>0</v>
      </c>
      <c r="E10" s="78">
        <f aca="true" t="shared" si="1" ref="E10:E22">D10-C10</f>
        <v>-44026</v>
      </c>
      <c r="F10" s="79">
        <f t="shared" si="0"/>
        <v>-1</v>
      </c>
    </row>
    <row r="11" spans="1:6" ht="91.5">
      <c r="A11" s="80" t="s">
        <v>62</v>
      </c>
      <c r="B11" s="78">
        <v>100030</v>
      </c>
      <c r="C11" s="78">
        <v>100030</v>
      </c>
      <c r="D11" s="78">
        <v>106734</v>
      </c>
      <c r="E11" s="78">
        <f t="shared" si="1"/>
        <v>6704</v>
      </c>
      <c r="F11" s="79">
        <f t="shared" si="0"/>
        <v>0.06701989403179047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 aca="true" t="shared" si="2" ref="F24:F30">IF(ISERROR(E24/C24),0,(E24/C24))</f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2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2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2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2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 t="shared" si="2"/>
        <v>0</v>
      </c>
    </row>
    <row r="30" spans="1:6" ht="91.5">
      <c r="A30" s="76" t="s">
        <v>14</v>
      </c>
      <c r="B30" s="85">
        <f>B29+B28+B27+B25+B24+B9+B8</f>
        <v>12375888</v>
      </c>
      <c r="C30" s="86">
        <f>C29+C28+C27+C25+C24+C9+C8</f>
        <v>12375888</v>
      </c>
      <c r="D30" s="86">
        <f>D29+D28+D27+D25+D24+D9+D8</f>
        <v>16300216</v>
      </c>
      <c r="E30" s="86">
        <f>D30-C30</f>
        <v>3924328</v>
      </c>
      <c r="F30" s="87">
        <f t="shared" si="2"/>
        <v>0.3170946601973127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>IF(ISERROR(E32/C32),0,(E32/C32))</f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>IF(ISERROR(E34/C34),0,(E34/C34))</f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825561</v>
      </c>
      <c r="C36" s="74">
        <v>825561</v>
      </c>
      <c r="D36" s="74">
        <v>825561</v>
      </c>
      <c r="E36" s="74">
        <f>D36-C36</f>
        <v>0</v>
      </c>
      <c r="F36" s="75">
        <f>IF(ISERROR(E36/C36),0,(E36/C36))</f>
        <v>0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>IF(ISERROR(E38/C38),0,(E38/C38))</f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13201449</v>
      </c>
      <c r="C40" s="120">
        <f>C38+C36+C34+C30</f>
        <v>13201449</v>
      </c>
      <c r="D40" s="120">
        <f>D38+D36+D34+D30</f>
        <v>17125777</v>
      </c>
      <c r="E40" s="120">
        <f>D40-C40</f>
        <v>3924328</v>
      </c>
      <c r="F40" s="121">
        <f>IF(ISERROR(E40/C40),0,(E40/C40))</f>
        <v>0.29726494417393123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0</v>
      </c>
      <c r="C42" s="78">
        <v>0</v>
      </c>
      <c r="D42" s="78">
        <v>0</v>
      </c>
      <c r="E42" s="78">
        <f aca="true" t="shared" si="3" ref="E42:E49">D42-C42</f>
        <v>0</v>
      </c>
      <c r="F42" s="92">
        <f aca="true" t="shared" si="4" ref="F42:F55">IF(ISERROR(E42/C42),0,(E42/C42))</f>
        <v>0</v>
      </c>
    </row>
    <row r="43" spans="1:6" ht="91.5">
      <c r="A43" s="80" t="s">
        <v>20</v>
      </c>
      <c r="B43" s="78">
        <v>5348329</v>
      </c>
      <c r="C43" s="78">
        <v>6313639</v>
      </c>
      <c r="D43" s="78">
        <v>8942202</v>
      </c>
      <c r="E43" s="78">
        <f t="shared" si="3"/>
        <v>2628563</v>
      </c>
      <c r="F43" s="90">
        <f t="shared" si="4"/>
        <v>0.41633089886830715</v>
      </c>
    </row>
    <row r="44" spans="1:6" ht="91.5">
      <c r="A44" s="80" t="s">
        <v>21</v>
      </c>
      <c r="B44" s="78">
        <v>171854</v>
      </c>
      <c r="C44" s="78">
        <v>174847</v>
      </c>
      <c r="D44" s="78">
        <v>285653</v>
      </c>
      <c r="E44" s="78">
        <f t="shared" si="3"/>
        <v>110806</v>
      </c>
      <c r="F44" s="90">
        <f t="shared" si="4"/>
        <v>0.6337312049963683</v>
      </c>
    </row>
    <row r="45" spans="1:6" ht="91.5">
      <c r="A45" s="80" t="s">
        <v>49</v>
      </c>
      <c r="B45" s="78">
        <v>2537132</v>
      </c>
      <c r="C45" s="78">
        <v>1935833</v>
      </c>
      <c r="D45" s="78">
        <v>2430065</v>
      </c>
      <c r="E45" s="78">
        <f t="shared" si="3"/>
        <v>494232</v>
      </c>
      <c r="F45" s="90">
        <f t="shared" si="4"/>
        <v>0.2553071468458281</v>
      </c>
    </row>
    <row r="46" spans="1:6" ht="91.5">
      <c r="A46" s="80" t="s">
        <v>22</v>
      </c>
      <c r="B46" s="78">
        <v>0</v>
      </c>
      <c r="C46" s="78">
        <v>0</v>
      </c>
      <c r="D46" s="78">
        <v>0</v>
      </c>
      <c r="E46" s="78">
        <f t="shared" si="3"/>
        <v>0</v>
      </c>
      <c r="F46" s="90">
        <f t="shared" si="4"/>
        <v>0</v>
      </c>
    </row>
    <row r="47" spans="1:6" ht="91.5">
      <c r="A47" s="80" t="s">
        <v>23</v>
      </c>
      <c r="B47" s="78">
        <v>766889</v>
      </c>
      <c r="C47" s="78">
        <v>769921</v>
      </c>
      <c r="D47" s="78">
        <v>928454</v>
      </c>
      <c r="E47" s="78">
        <f t="shared" si="3"/>
        <v>158533</v>
      </c>
      <c r="F47" s="90">
        <f t="shared" si="4"/>
        <v>0.2059081386272098</v>
      </c>
    </row>
    <row r="48" spans="1:6" ht="91.5">
      <c r="A48" s="80" t="s">
        <v>24</v>
      </c>
      <c r="B48" s="78">
        <v>0</v>
      </c>
      <c r="C48" s="78">
        <v>0</v>
      </c>
      <c r="D48" s="78">
        <v>0</v>
      </c>
      <c r="E48" s="78">
        <f t="shared" si="3"/>
        <v>0</v>
      </c>
      <c r="F48" s="90">
        <f t="shared" si="4"/>
        <v>0</v>
      </c>
    </row>
    <row r="49" spans="1:6" ht="91.5">
      <c r="A49" s="80" t="s">
        <v>25</v>
      </c>
      <c r="B49" s="78">
        <v>4377245</v>
      </c>
      <c r="C49" s="78">
        <v>4007209</v>
      </c>
      <c r="D49" s="78">
        <v>4539403</v>
      </c>
      <c r="E49" s="78">
        <f t="shared" si="3"/>
        <v>532194</v>
      </c>
      <c r="F49" s="90">
        <f t="shared" si="4"/>
        <v>0.1328091447189303</v>
      </c>
    </row>
    <row r="50" spans="1:6" ht="91.5">
      <c r="A50" s="93" t="s">
        <v>26</v>
      </c>
      <c r="B50" s="83">
        <f>SUM(B42:B49)</f>
        <v>13201449</v>
      </c>
      <c r="C50" s="83">
        <f>SUM(C42:C49)</f>
        <v>13201449</v>
      </c>
      <c r="D50" s="83">
        <f>SUM(D42:D49)</f>
        <v>17125777</v>
      </c>
      <c r="E50" s="74">
        <f>SUM(E42:E49)</f>
        <v>3924328</v>
      </c>
      <c r="F50" s="87">
        <f t="shared" si="4"/>
        <v>0.29726494417393123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>D51-C51</f>
        <v>0</v>
      </c>
      <c r="F51" s="90">
        <f t="shared" si="4"/>
        <v>0</v>
      </c>
    </row>
    <row r="52" spans="1:6" ht="91.5">
      <c r="A52" s="80" t="s">
        <v>28</v>
      </c>
      <c r="B52" s="78">
        <v>0</v>
      </c>
      <c r="C52" s="78">
        <v>0</v>
      </c>
      <c r="D52" s="78">
        <v>0</v>
      </c>
      <c r="E52" s="78">
        <f>D52-C52</f>
        <v>0</v>
      </c>
      <c r="F52" s="90">
        <f t="shared" si="4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f t="shared" si="4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>D54-C54</f>
        <v>0</v>
      </c>
      <c r="F54" s="90">
        <f t="shared" si="4"/>
        <v>0</v>
      </c>
    </row>
    <row r="55" spans="1:6" ht="91.5">
      <c r="A55" s="94" t="s">
        <v>31</v>
      </c>
      <c r="B55" s="85">
        <f>B54+B53+B52+B51+B50</f>
        <v>13201449</v>
      </c>
      <c r="C55" s="85">
        <f>C54+C53+C52+C51+C50</f>
        <v>13201449</v>
      </c>
      <c r="D55" s="85">
        <f>D54+D53+D52+D51+D50</f>
        <v>17125777</v>
      </c>
      <c r="E55" s="85">
        <f>D55-C55</f>
        <v>3924328</v>
      </c>
      <c r="F55" s="95">
        <f t="shared" si="4"/>
        <v>0.29726494417393123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5663788</v>
      </c>
      <c r="C57" s="78">
        <v>6038907</v>
      </c>
      <c r="D57" s="78">
        <v>8159518</v>
      </c>
      <c r="E57" s="78">
        <f aca="true" t="shared" si="5" ref="E57:E74">D57-C57</f>
        <v>2120611</v>
      </c>
      <c r="F57" s="92">
        <f aca="true" t="shared" si="6" ref="F57:F74">IF(ISERROR(E57/C57),0,(E57/C57))</f>
        <v>0.3511580820833969</v>
      </c>
    </row>
    <row r="58" spans="1:6" ht="91.5">
      <c r="A58" s="80" t="s">
        <v>34</v>
      </c>
      <c r="B58" s="78">
        <v>235683</v>
      </c>
      <c r="C58" s="78">
        <v>132100</v>
      </c>
      <c r="D58" s="78">
        <v>142100</v>
      </c>
      <c r="E58" s="78">
        <f t="shared" si="5"/>
        <v>10000</v>
      </c>
      <c r="F58" s="90">
        <f t="shared" si="6"/>
        <v>0.0757002271006813</v>
      </c>
    </row>
    <row r="59" spans="1:6" ht="91.5">
      <c r="A59" s="80" t="s">
        <v>35</v>
      </c>
      <c r="B59" s="78">
        <v>1622176</v>
      </c>
      <c r="C59" s="78">
        <v>1711085</v>
      </c>
      <c r="D59" s="78">
        <v>2324541</v>
      </c>
      <c r="E59" s="78">
        <f t="shared" si="5"/>
        <v>613456</v>
      </c>
      <c r="F59" s="90">
        <f t="shared" si="6"/>
        <v>0.35851871765575644</v>
      </c>
    </row>
    <row r="60" spans="1:6" ht="91.5">
      <c r="A60" s="93" t="s">
        <v>36</v>
      </c>
      <c r="B60" s="96">
        <f>SUM(B57:B59)</f>
        <v>7521647</v>
      </c>
      <c r="C60" s="96">
        <f>SUM(C57:C59)</f>
        <v>7882092</v>
      </c>
      <c r="D60" s="96">
        <f>SUM(D57:D59)</f>
        <v>10626159</v>
      </c>
      <c r="E60" s="96">
        <f t="shared" si="5"/>
        <v>2744067</v>
      </c>
      <c r="F60" s="97">
        <f t="shared" si="6"/>
        <v>0.34813942795897335</v>
      </c>
    </row>
    <row r="61" spans="1:6" ht="91.5">
      <c r="A61" s="80" t="s">
        <v>37</v>
      </c>
      <c r="B61" s="78">
        <v>165219</v>
      </c>
      <c r="C61" s="78">
        <v>83371</v>
      </c>
      <c r="D61" s="78">
        <v>147660</v>
      </c>
      <c r="E61" s="78">
        <f t="shared" si="5"/>
        <v>64289</v>
      </c>
      <c r="F61" s="90">
        <f t="shared" si="6"/>
        <v>0.7711194540067889</v>
      </c>
    </row>
    <row r="62" spans="1:6" ht="91.5">
      <c r="A62" s="80" t="s">
        <v>38</v>
      </c>
      <c r="B62" s="78">
        <v>3522229</v>
      </c>
      <c r="C62" s="78">
        <v>3520419</v>
      </c>
      <c r="D62" s="78">
        <v>4413583</v>
      </c>
      <c r="E62" s="78">
        <f t="shared" si="5"/>
        <v>893164</v>
      </c>
      <c r="F62" s="90">
        <f t="shared" si="6"/>
        <v>0.25370957263893873</v>
      </c>
    </row>
    <row r="63" spans="1:6" ht="91.5">
      <c r="A63" s="80" t="s">
        <v>39</v>
      </c>
      <c r="B63" s="78">
        <v>1570802</v>
      </c>
      <c r="C63" s="78">
        <v>1560572</v>
      </c>
      <c r="D63" s="78">
        <v>1777380</v>
      </c>
      <c r="E63" s="78">
        <f t="shared" si="5"/>
        <v>216808</v>
      </c>
      <c r="F63" s="90">
        <f t="shared" si="6"/>
        <v>0.13892854671235932</v>
      </c>
    </row>
    <row r="64" spans="1:6" ht="91.5">
      <c r="A64" s="76" t="s">
        <v>40</v>
      </c>
      <c r="B64" s="83">
        <f>SUM(B61:B63)</f>
        <v>5258250</v>
      </c>
      <c r="C64" s="83">
        <f>SUM(C61:C63)</f>
        <v>5164362</v>
      </c>
      <c r="D64" s="83">
        <f>SUM(D61:D63)</f>
        <v>6338623</v>
      </c>
      <c r="E64" s="83">
        <f t="shared" si="5"/>
        <v>1174261</v>
      </c>
      <c r="F64" s="87">
        <f t="shared" si="6"/>
        <v>0.2273777477256629</v>
      </c>
    </row>
    <row r="65" spans="1:6" ht="91.5">
      <c r="A65" s="80" t="s">
        <v>41</v>
      </c>
      <c r="B65" s="78">
        <v>130755</v>
      </c>
      <c r="C65" s="78">
        <v>146495</v>
      </c>
      <c r="D65" s="78">
        <v>152495</v>
      </c>
      <c r="E65" s="78">
        <f t="shared" si="5"/>
        <v>6000</v>
      </c>
      <c r="F65" s="90">
        <f t="shared" si="6"/>
        <v>0.040957029250145056</v>
      </c>
    </row>
    <row r="66" spans="1:6" ht="91.5">
      <c r="A66" s="80" t="s">
        <v>42</v>
      </c>
      <c r="B66" s="78">
        <v>21771</v>
      </c>
      <c r="C66" s="78">
        <v>8500</v>
      </c>
      <c r="D66" s="78">
        <v>8500</v>
      </c>
      <c r="E66" s="78">
        <f t="shared" si="5"/>
        <v>0</v>
      </c>
      <c r="F66" s="90">
        <f t="shared" si="6"/>
        <v>0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5"/>
        <v>0</v>
      </c>
      <c r="F67" s="90">
        <f t="shared" si="6"/>
        <v>0</v>
      </c>
    </row>
    <row r="68" spans="1:6" ht="91.5">
      <c r="A68" s="80" t="s">
        <v>44</v>
      </c>
      <c r="B68" s="78">
        <v>0</v>
      </c>
      <c r="C68" s="78">
        <v>0</v>
      </c>
      <c r="D68" s="78">
        <v>0</v>
      </c>
      <c r="E68" s="78">
        <f t="shared" si="5"/>
        <v>0</v>
      </c>
      <c r="F68" s="90">
        <f t="shared" si="6"/>
        <v>0</v>
      </c>
    </row>
    <row r="69" spans="1:6" ht="91.5">
      <c r="A69" s="76" t="s">
        <v>45</v>
      </c>
      <c r="B69" s="85">
        <f>SUM(B65:B68)</f>
        <v>152526</v>
      </c>
      <c r="C69" s="85">
        <f>SUM(C65:C68)</f>
        <v>154995</v>
      </c>
      <c r="D69" s="85">
        <f>SUM(D65:D68)</f>
        <v>160995</v>
      </c>
      <c r="E69" s="85">
        <f t="shared" si="5"/>
        <v>6000</v>
      </c>
      <c r="F69" s="87">
        <f t="shared" si="6"/>
        <v>0.03871092615890835</v>
      </c>
    </row>
    <row r="70" spans="1:6" ht="91.5">
      <c r="A70" s="80" t="s">
        <v>57</v>
      </c>
      <c r="B70" s="78">
        <v>269026</v>
      </c>
      <c r="C70" s="78">
        <v>0</v>
      </c>
      <c r="D70" s="78">
        <v>0</v>
      </c>
      <c r="E70" s="78">
        <f t="shared" si="5"/>
        <v>0</v>
      </c>
      <c r="F70" s="90">
        <f t="shared" si="6"/>
        <v>0</v>
      </c>
    </row>
    <row r="71" spans="1:6" ht="91.5">
      <c r="A71" s="80" t="s">
        <v>46</v>
      </c>
      <c r="B71" s="78">
        <v>0</v>
      </c>
      <c r="C71" s="78">
        <v>0</v>
      </c>
      <c r="D71" s="78">
        <v>0</v>
      </c>
      <c r="E71" s="78">
        <f t="shared" si="5"/>
        <v>0</v>
      </c>
      <c r="F71" s="90">
        <f t="shared" si="6"/>
        <v>0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5"/>
        <v>0</v>
      </c>
      <c r="F72" s="90">
        <f t="shared" si="6"/>
        <v>0</v>
      </c>
    </row>
    <row r="73" spans="1:6" ht="91.5">
      <c r="A73" s="99" t="s">
        <v>48</v>
      </c>
      <c r="B73" s="85">
        <f>SUM(B70:B72)</f>
        <v>269026</v>
      </c>
      <c r="C73" s="85">
        <f>SUM(C70:C72)</f>
        <v>0</v>
      </c>
      <c r="D73" s="85">
        <f>SUM(D70:D72)</f>
        <v>0</v>
      </c>
      <c r="E73" s="85">
        <f t="shared" si="5"/>
        <v>0</v>
      </c>
      <c r="F73" s="95">
        <f t="shared" si="6"/>
        <v>0</v>
      </c>
    </row>
    <row r="74" spans="1:6" ht="91.5">
      <c r="A74" s="94" t="s">
        <v>31</v>
      </c>
      <c r="B74" s="85">
        <f>B73+B69+B64+B60</f>
        <v>13201449</v>
      </c>
      <c r="C74" s="85">
        <f>C73+C69+C64+C60</f>
        <v>13201449</v>
      </c>
      <c r="D74" s="85">
        <f>D73+D69+D64+D60</f>
        <v>17125777</v>
      </c>
      <c r="E74" s="85">
        <f t="shared" si="5"/>
        <v>3924328</v>
      </c>
      <c r="F74" s="95">
        <f t="shared" si="6"/>
        <v>0.29726494417393123</v>
      </c>
    </row>
    <row r="75" ht="91.5">
      <c r="A75" s="56" t="s">
        <v>186</v>
      </c>
    </row>
    <row r="76" spans="1:6" ht="91.5">
      <c r="A76" s="56" t="s">
        <v>0</v>
      </c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="35" zoomScaleNormal="35" zoomScalePageLayoutView="0" workbookViewId="0" topLeftCell="A31">
      <selection activeCell="A76" sqref="A76"/>
    </sheetView>
  </sheetViews>
  <sheetFormatPr defaultColWidth="93.21484375" defaultRowHeight="15"/>
  <cols>
    <col min="1" max="1" width="255.77734375" style="56" bestFit="1" customWidth="1"/>
    <col min="2" max="4" width="61.99609375" style="51" bestFit="1" customWidth="1"/>
    <col min="5" max="5" width="70.88671875" style="51" bestFit="1" customWidth="1"/>
    <col min="6" max="6" width="51.21484375" style="57" bestFit="1" customWidth="1"/>
    <col min="7" max="16384" width="93.21484375" style="56" customWidth="1"/>
  </cols>
  <sheetData>
    <row r="1" spans="1:6" ht="91.5">
      <c r="A1" s="50" t="s">
        <v>3</v>
      </c>
      <c r="B1" s="56"/>
      <c r="C1" s="56"/>
      <c r="D1" s="56"/>
      <c r="E1" s="50" t="s">
        <v>6</v>
      </c>
      <c r="F1" s="123" t="s">
        <v>184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8145367</v>
      </c>
      <c r="C8" s="74">
        <v>8145367</v>
      </c>
      <c r="D8" s="74">
        <v>9432233</v>
      </c>
      <c r="E8" s="74">
        <f>D8-C8</f>
        <v>1286866</v>
      </c>
      <c r="F8" s="75">
        <f aca="true" t="shared" si="0" ref="F8:F23">IF(ISERROR(E8/C8),0,(E8/C8))</f>
        <v>0.15798747926275145</v>
      </c>
    </row>
    <row r="9" spans="1:6" ht="91.5">
      <c r="A9" s="76" t="s">
        <v>60</v>
      </c>
      <c r="B9" s="74">
        <f>SUM(B10:B22)</f>
        <v>591788</v>
      </c>
      <c r="C9" s="74">
        <f>SUM(C10:C22)</f>
        <v>591788</v>
      </c>
      <c r="D9" s="74">
        <f>SUM(D10:D22)</f>
        <v>452061</v>
      </c>
      <c r="E9" s="74">
        <f>SUM(E10:E21)</f>
        <v>-139727</v>
      </c>
      <c r="F9" s="75">
        <f t="shared" si="0"/>
        <v>-0.2361098907041035</v>
      </c>
    </row>
    <row r="10" spans="1:6" ht="91.5">
      <c r="A10" s="77" t="s">
        <v>61</v>
      </c>
      <c r="B10" s="78">
        <v>164465</v>
      </c>
      <c r="C10" s="78">
        <v>164465</v>
      </c>
      <c r="D10" s="78">
        <v>0</v>
      </c>
      <c r="E10" s="78">
        <f aca="true" t="shared" si="1" ref="E10:E22">D10-C10</f>
        <v>-164465</v>
      </c>
      <c r="F10" s="79">
        <f t="shared" si="0"/>
        <v>-1</v>
      </c>
    </row>
    <row r="11" spans="1:6" ht="91.5">
      <c r="A11" s="80" t="s">
        <v>62</v>
      </c>
      <c r="B11" s="78">
        <v>427323</v>
      </c>
      <c r="C11" s="78">
        <v>427323</v>
      </c>
      <c r="D11" s="78">
        <v>452061</v>
      </c>
      <c r="E11" s="78">
        <f t="shared" si="1"/>
        <v>24738</v>
      </c>
      <c r="F11" s="79">
        <f t="shared" si="0"/>
        <v>0.05789063542098132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 aca="true" t="shared" si="2" ref="F24:F30">IF(ISERROR(E24/C24),0,(E24/C24))</f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2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2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2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2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 t="shared" si="2"/>
        <v>0</v>
      </c>
    </row>
    <row r="30" spans="1:6" ht="91.5">
      <c r="A30" s="76" t="s">
        <v>14</v>
      </c>
      <c r="B30" s="85">
        <f>B29+B28+B27+B25+B24+B9+B8</f>
        <v>8737155</v>
      </c>
      <c r="C30" s="86">
        <f>C29+C28+C27+C25+C24+C9+C8</f>
        <v>8737155</v>
      </c>
      <c r="D30" s="86">
        <f>D29+D28+D27+D25+D24+D9+D8</f>
        <v>9884294</v>
      </c>
      <c r="E30" s="86">
        <f>D30-C30</f>
        <v>1147139</v>
      </c>
      <c r="F30" s="87">
        <f t="shared" si="2"/>
        <v>0.13129434009125396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>IF(ISERROR(E32/C32),0,(E32/C32))</f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>IF(ISERROR(E34/C34),0,(E34/C34))</f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9505492</v>
      </c>
      <c r="C36" s="74">
        <v>9809012</v>
      </c>
      <c r="D36" s="74">
        <v>9809012</v>
      </c>
      <c r="E36" s="74">
        <f>D36-C36</f>
        <v>0</v>
      </c>
      <c r="F36" s="75">
        <f>IF(ISERROR(E36/C36),0,(E36/C36))</f>
        <v>0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>IF(ISERROR(E38/C38),0,(E38/C38))</f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18242647</v>
      </c>
      <c r="C40" s="120">
        <f>C38+C36+C34+C30</f>
        <v>18546167</v>
      </c>
      <c r="D40" s="120">
        <f>D38+D36+D34+D30</f>
        <v>19693306</v>
      </c>
      <c r="E40" s="120">
        <f>D40-C40</f>
        <v>1147139</v>
      </c>
      <c r="F40" s="121">
        <f>IF(ISERROR(E40/C40),0,(E40/C40))</f>
        <v>0.06185315812156765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7831096</v>
      </c>
      <c r="C42" s="78">
        <v>7720989</v>
      </c>
      <c r="D42" s="78">
        <v>8577867</v>
      </c>
      <c r="E42" s="78">
        <f aca="true" t="shared" si="3" ref="E42:E49">D42-C42</f>
        <v>856878</v>
      </c>
      <c r="F42" s="92">
        <f aca="true" t="shared" si="4" ref="F42:F55">IF(ISERROR(E42/C42),0,(E42/C42))</f>
        <v>0.11098034202613162</v>
      </c>
    </row>
    <row r="43" spans="1:6" ht="91.5">
      <c r="A43" s="80" t="s">
        <v>20</v>
      </c>
      <c r="B43" s="78">
        <v>681697</v>
      </c>
      <c r="C43" s="78">
        <v>722416</v>
      </c>
      <c r="D43" s="78">
        <v>726190</v>
      </c>
      <c r="E43" s="78">
        <f t="shared" si="3"/>
        <v>3774</v>
      </c>
      <c r="F43" s="90">
        <f t="shared" si="4"/>
        <v>0.005224136785453257</v>
      </c>
    </row>
    <row r="44" spans="1:6" ht="91.5">
      <c r="A44" s="80" t="s">
        <v>21</v>
      </c>
      <c r="B44" s="78">
        <v>34695</v>
      </c>
      <c r="C44" s="78">
        <v>80775</v>
      </c>
      <c r="D44" s="78">
        <v>96187</v>
      </c>
      <c r="E44" s="78">
        <f t="shared" si="3"/>
        <v>15412</v>
      </c>
      <c r="F44" s="90">
        <f t="shared" si="4"/>
        <v>0.19080160940885174</v>
      </c>
    </row>
    <row r="45" spans="1:6" ht="91.5">
      <c r="A45" s="80" t="s">
        <v>49</v>
      </c>
      <c r="B45" s="78">
        <v>3153129</v>
      </c>
      <c r="C45" s="78">
        <v>3398407</v>
      </c>
      <c r="D45" s="78">
        <v>3298797</v>
      </c>
      <c r="E45" s="78">
        <f t="shared" si="3"/>
        <v>-99610</v>
      </c>
      <c r="F45" s="90">
        <f t="shared" si="4"/>
        <v>-0.02931079179156587</v>
      </c>
    </row>
    <row r="46" spans="1:6" ht="91.5">
      <c r="A46" s="80" t="s">
        <v>22</v>
      </c>
      <c r="B46" s="78">
        <v>1111324</v>
      </c>
      <c r="C46" s="78">
        <v>1137070</v>
      </c>
      <c r="D46" s="78">
        <v>1142512</v>
      </c>
      <c r="E46" s="78">
        <f t="shared" si="3"/>
        <v>5442</v>
      </c>
      <c r="F46" s="90">
        <f t="shared" si="4"/>
        <v>0.004785985031704292</v>
      </c>
    </row>
    <row r="47" spans="1:6" ht="91.5">
      <c r="A47" s="80" t="s">
        <v>23</v>
      </c>
      <c r="B47" s="78">
        <v>2306972</v>
      </c>
      <c r="C47" s="78">
        <v>2298826</v>
      </c>
      <c r="D47" s="78">
        <v>2374988</v>
      </c>
      <c r="E47" s="78">
        <f t="shared" si="3"/>
        <v>76162</v>
      </c>
      <c r="F47" s="90">
        <f t="shared" si="4"/>
        <v>0.03313082416851036</v>
      </c>
    </row>
    <row r="48" spans="1:6" ht="91.5">
      <c r="A48" s="80" t="s">
        <v>24</v>
      </c>
      <c r="B48" s="78">
        <v>1468112</v>
      </c>
      <c r="C48" s="78">
        <v>1602263</v>
      </c>
      <c r="D48" s="78">
        <v>1848645</v>
      </c>
      <c r="E48" s="78">
        <f t="shared" si="3"/>
        <v>246382</v>
      </c>
      <c r="F48" s="90">
        <f t="shared" si="4"/>
        <v>0.1537712597744565</v>
      </c>
    </row>
    <row r="49" spans="1:6" ht="91.5">
      <c r="A49" s="80" t="s">
        <v>25</v>
      </c>
      <c r="B49" s="78">
        <v>1655622</v>
      </c>
      <c r="C49" s="78">
        <v>1585421</v>
      </c>
      <c r="D49" s="78">
        <v>1628120</v>
      </c>
      <c r="E49" s="78">
        <f t="shared" si="3"/>
        <v>42699</v>
      </c>
      <c r="F49" s="90">
        <f t="shared" si="4"/>
        <v>0.026932278555664393</v>
      </c>
    </row>
    <row r="50" spans="1:6" ht="91.5">
      <c r="A50" s="93" t="s">
        <v>26</v>
      </c>
      <c r="B50" s="83">
        <f>SUM(B42:B49)</f>
        <v>18242647</v>
      </c>
      <c r="C50" s="83">
        <f>SUM(C42:C49)</f>
        <v>18546167</v>
      </c>
      <c r="D50" s="83">
        <f>SUM(D42:D49)</f>
        <v>19693306</v>
      </c>
      <c r="E50" s="74">
        <f>SUM(E42:E49)</f>
        <v>1147139</v>
      </c>
      <c r="F50" s="87">
        <f t="shared" si="4"/>
        <v>0.06185315812156765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>D51-C51</f>
        <v>0</v>
      </c>
      <c r="F51" s="90">
        <f t="shared" si="4"/>
        <v>0</v>
      </c>
    </row>
    <row r="52" spans="1:6" ht="91.5">
      <c r="A52" s="80" t="s">
        <v>28</v>
      </c>
      <c r="B52" s="78">
        <v>0</v>
      </c>
      <c r="C52" s="78">
        <v>0</v>
      </c>
      <c r="D52" s="78">
        <v>0</v>
      </c>
      <c r="E52" s="78">
        <f>D52-C52</f>
        <v>0</v>
      </c>
      <c r="F52" s="90">
        <f t="shared" si="4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f t="shared" si="4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>D54-C54</f>
        <v>0</v>
      </c>
      <c r="F54" s="90">
        <f t="shared" si="4"/>
        <v>0</v>
      </c>
    </row>
    <row r="55" spans="1:6" ht="91.5">
      <c r="A55" s="94" t="s">
        <v>31</v>
      </c>
      <c r="B55" s="85">
        <f>B54+B53+B52+B51+B50</f>
        <v>18242647</v>
      </c>
      <c r="C55" s="85">
        <f>C54+C53+C52+C51+C50</f>
        <v>18546167</v>
      </c>
      <c r="D55" s="85">
        <f>D54+D53+D52+D51+D50</f>
        <v>19693306</v>
      </c>
      <c r="E55" s="85">
        <f>D55-C55</f>
        <v>1147139</v>
      </c>
      <c r="F55" s="95">
        <f t="shared" si="4"/>
        <v>0.06185315812156765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9229191</v>
      </c>
      <c r="C57" s="78">
        <v>9283052</v>
      </c>
      <c r="D57" s="78">
        <v>10200977</v>
      </c>
      <c r="E57" s="78">
        <f aca="true" t="shared" si="5" ref="E57:E74">D57-C57</f>
        <v>917925</v>
      </c>
      <c r="F57" s="92">
        <f aca="true" t="shared" si="6" ref="F57:F74">IF(ISERROR(E57/C57),0,(E57/C57))</f>
        <v>0.09888181171450941</v>
      </c>
    </row>
    <row r="58" spans="1:6" ht="91.5">
      <c r="A58" s="80" t="s">
        <v>34</v>
      </c>
      <c r="B58" s="78">
        <v>304874</v>
      </c>
      <c r="C58" s="78">
        <v>362400</v>
      </c>
      <c r="D58" s="78">
        <v>385600</v>
      </c>
      <c r="E58" s="78">
        <f t="shared" si="5"/>
        <v>23200</v>
      </c>
      <c r="F58" s="90">
        <f t="shared" si="6"/>
        <v>0.0640176600441501</v>
      </c>
    </row>
    <row r="59" spans="1:6" ht="91.5">
      <c r="A59" s="80" t="s">
        <v>35</v>
      </c>
      <c r="B59" s="78">
        <v>2179577</v>
      </c>
      <c r="C59" s="78">
        <v>2087792</v>
      </c>
      <c r="D59" s="78">
        <v>2263330</v>
      </c>
      <c r="E59" s="78">
        <f t="shared" si="5"/>
        <v>175538</v>
      </c>
      <c r="F59" s="90">
        <f t="shared" si="6"/>
        <v>0.08407829898763862</v>
      </c>
    </row>
    <row r="60" spans="1:6" ht="91.5">
      <c r="A60" s="93" t="s">
        <v>36</v>
      </c>
      <c r="B60" s="96">
        <f>SUM(B57:B59)</f>
        <v>11713642</v>
      </c>
      <c r="C60" s="96">
        <f>SUM(C57:C59)</f>
        <v>11733244</v>
      </c>
      <c r="D60" s="96">
        <f>SUM(D57:D59)</f>
        <v>12849907</v>
      </c>
      <c r="E60" s="96">
        <f t="shared" si="5"/>
        <v>1116663</v>
      </c>
      <c r="F60" s="97">
        <f t="shared" si="6"/>
        <v>0.09517086664182557</v>
      </c>
    </row>
    <row r="61" spans="1:6" ht="91.5">
      <c r="A61" s="80" t="s">
        <v>37</v>
      </c>
      <c r="B61" s="78">
        <v>387972</v>
      </c>
      <c r="C61" s="78">
        <v>371400</v>
      </c>
      <c r="D61" s="78">
        <v>447170</v>
      </c>
      <c r="E61" s="78">
        <f t="shared" si="5"/>
        <v>75770</v>
      </c>
      <c r="F61" s="90">
        <f t="shared" si="6"/>
        <v>0.20401184706515885</v>
      </c>
    </row>
    <row r="62" spans="1:6" ht="91.5">
      <c r="A62" s="80" t="s">
        <v>38</v>
      </c>
      <c r="B62" s="78">
        <v>3143783</v>
      </c>
      <c r="C62" s="78">
        <v>2975709</v>
      </c>
      <c r="D62" s="78">
        <v>2987078</v>
      </c>
      <c r="E62" s="78">
        <f t="shared" si="5"/>
        <v>11369</v>
      </c>
      <c r="F62" s="90">
        <f t="shared" si="6"/>
        <v>0.0038206020817223726</v>
      </c>
    </row>
    <row r="63" spans="1:6" ht="91.5">
      <c r="A63" s="80" t="s">
        <v>39</v>
      </c>
      <c r="B63" s="78">
        <v>247151</v>
      </c>
      <c r="C63" s="78">
        <v>321425</v>
      </c>
      <c r="D63" s="78">
        <v>291225</v>
      </c>
      <c r="E63" s="78">
        <f t="shared" si="5"/>
        <v>-30200</v>
      </c>
      <c r="F63" s="90">
        <f t="shared" si="6"/>
        <v>-0.09395659951777242</v>
      </c>
    </row>
    <row r="64" spans="1:6" ht="91.5">
      <c r="A64" s="76" t="s">
        <v>40</v>
      </c>
      <c r="B64" s="83">
        <f>SUM(B61:B63)</f>
        <v>3778906</v>
      </c>
      <c r="C64" s="83">
        <f>SUM(C61:C63)</f>
        <v>3668534</v>
      </c>
      <c r="D64" s="83">
        <f>SUM(D61:D63)</f>
        <v>3725473</v>
      </c>
      <c r="E64" s="83">
        <f t="shared" si="5"/>
        <v>56939</v>
      </c>
      <c r="F64" s="87">
        <f t="shared" si="6"/>
        <v>0.015520913803715598</v>
      </c>
    </row>
    <row r="65" spans="1:6" ht="91.5">
      <c r="A65" s="80" t="s">
        <v>41</v>
      </c>
      <c r="B65" s="78">
        <v>255909</v>
      </c>
      <c r="C65" s="78">
        <v>179649</v>
      </c>
      <c r="D65" s="78">
        <v>239600</v>
      </c>
      <c r="E65" s="78">
        <f t="shared" si="5"/>
        <v>59951</v>
      </c>
      <c r="F65" s="90">
        <f t="shared" si="6"/>
        <v>0.3337118492170844</v>
      </c>
    </row>
    <row r="66" spans="1:6" ht="91.5">
      <c r="A66" s="80" t="s">
        <v>42</v>
      </c>
      <c r="B66" s="78">
        <v>1539812</v>
      </c>
      <c r="C66" s="78">
        <v>1673863</v>
      </c>
      <c r="D66" s="78">
        <v>1953926</v>
      </c>
      <c r="E66" s="78">
        <f t="shared" si="5"/>
        <v>280063</v>
      </c>
      <c r="F66" s="90">
        <f t="shared" si="6"/>
        <v>0.16731536571392044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5"/>
        <v>0</v>
      </c>
      <c r="F67" s="90">
        <f t="shared" si="6"/>
        <v>0</v>
      </c>
    </row>
    <row r="68" spans="1:6" ht="91.5">
      <c r="A68" s="80" t="s">
        <v>44</v>
      </c>
      <c r="B68" s="78">
        <v>0</v>
      </c>
      <c r="C68" s="78">
        <v>0</v>
      </c>
      <c r="D68" s="78">
        <v>0</v>
      </c>
      <c r="E68" s="78">
        <f t="shared" si="5"/>
        <v>0</v>
      </c>
      <c r="F68" s="90">
        <f t="shared" si="6"/>
        <v>0</v>
      </c>
    </row>
    <row r="69" spans="1:6" ht="91.5">
      <c r="A69" s="76" t="s">
        <v>45</v>
      </c>
      <c r="B69" s="85">
        <f>SUM(B65:B68)</f>
        <v>1795721</v>
      </c>
      <c r="C69" s="85">
        <f>SUM(C65:C68)</f>
        <v>1853512</v>
      </c>
      <c r="D69" s="85">
        <f>SUM(D65:D68)</f>
        <v>2193526</v>
      </c>
      <c r="E69" s="85">
        <f t="shared" si="5"/>
        <v>340014</v>
      </c>
      <c r="F69" s="87">
        <f t="shared" si="6"/>
        <v>0.1834431069235052</v>
      </c>
    </row>
    <row r="70" spans="1:6" ht="91.5">
      <c r="A70" s="80" t="s">
        <v>57</v>
      </c>
      <c r="B70" s="78">
        <v>384382</v>
      </c>
      <c r="C70" s="78">
        <v>121090</v>
      </c>
      <c r="D70" s="78">
        <v>4400</v>
      </c>
      <c r="E70" s="78">
        <f t="shared" si="5"/>
        <v>-116690</v>
      </c>
      <c r="F70" s="90">
        <f t="shared" si="6"/>
        <v>-0.9636633908662978</v>
      </c>
    </row>
    <row r="71" spans="1:6" ht="91.5">
      <c r="A71" s="80" t="s">
        <v>46</v>
      </c>
      <c r="B71" s="78">
        <v>569996</v>
      </c>
      <c r="C71" s="78">
        <v>1169787</v>
      </c>
      <c r="D71" s="78">
        <v>920000</v>
      </c>
      <c r="E71" s="78">
        <f t="shared" si="5"/>
        <v>-249787</v>
      </c>
      <c r="F71" s="90">
        <f t="shared" si="6"/>
        <v>-0.2135320361741069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5"/>
        <v>0</v>
      </c>
      <c r="F72" s="90">
        <f t="shared" si="6"/>
        <v>0</v>
      </c>
    </row>
    <row r="73" spans="1:6" ht="91.5">
      <c r="A73" s="99" t="s">
        <v>48</v>
      </c>
      <c r="B73" s="85">
        <f>SUM(B70:B72)</f>
        <v>954378</v>
      </c>
      <c r="C73" s="85">
        <f>SUM(C70:C72)</f>
        <v>1290877</v>
      </c>
      <c r="D73" s="85">
        <f>SUM(D70:D72)</f>
        <v>924400</v>
      </c>
      <c r="E73" s="85">
        <f t="shared" si="5"/>
        <v>-366477</v>
      </c>
      <c r="F73" s="95">
        <f t="shared" si="6"/>
        <v>-0.2838976912595081</v>
      </c>
    </row>
    <row r="74" spans="1:6" ht="91.5">
      <c r="A74" s="94" t="s">
        <v>31</v>
      </c>
      <c r="B74" s="85">
        <f>B73+B69+B64+B60</f>
        <v>18242647</v>
      </c>
      <c r="C74" s="85">
        <f>C73+C69+C64+C60</f>
        <v>18546167</v>
      </c>
      <c r="D74" s="85">
        <f>D73+D69+D64+D60</f>
        <v>19693306</v>
      </c>
      <c r="E74" s="85">
        <f t="shared" si="5"/>
        <v>1147139</v>
      </c>
      <c r="F74" s="95">
        <f t="shared" si="6"/>
        <v>0.06185315812156765</v>
      </c>
    </row>
    <row r="75" ht="91.5">
      <c r="A75" s="56" t="s">
        <v>186</v>
      </c>
    </row>
    <row r="76" spans="1:6" ht="91.5">
      <c r="A76" s="56" t="s">
        <v>0</v>
      </c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35" zoomScaleNormal="35" zoomScalePageLayoutView="0" workbookViewId="0" topLeftCell="B34">
      <selection activeCell="A78" sqref="A78"/>
    </sheetView>
  </sheetViews>
  <sheetFormatPr defaultColWidth="69.21484375" defaultRowHeight="15"/>
  <cols>
    <col min="1" max="1" width="255.77734375" style="56" customWidth="1"/>
    <col min="2" max="4" width="67.77734375" style="51" bestFit="1" customWidth="1"/>
    <col min="5" max="5" width="70.88671875" style="51" bestFit="1" customWidth="1"/>
    <col min="6" max="6" width="74.10546875" style="57" bestFit="1" customWidth="1"/>
    <col min="7" max="16384" width="69.21484375" style="56" customWidth="1"/>
  </cols>
  <sheetData>
    <row r="1" spans="1:6" ht="91.5">
      <c r="A1" s="50" t="s">
        <v>3</v>
      </c>
      <c r="B1" s="56"/>
      <c r="C1" s="56"/>
      <c r="D1" s="50"/>
      <c r="E1" s="50" t="s">
        <v>6</v>
      </c>
      <c r="F1" s="123" t="s">
        <v>174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119496067</v>
      </c>
      <c r="C8" s="74">
        <v>119496067</v>
      </c>
      <c r="D8" s="74">
        <v>120554564</v>
      </c>
      <c r="E8" s="74">
        <f>D8-C8</f>
        <v>1058497</v>
      </c>
      <c r="F8" s="75">
        <f aca="true" t="shared" si="0" ref="F8:F23">IF(ISERROR(E8/C8),0,(E8/C8))</f>
        <v>0.008858007017084503</v>
      </c>
    </row>
    <row r="9" spans="1:6" ht="91.5">
      <c r="A9" s="76" t="s">
        <v>60</v>
      </c>
      <c r="B9" s="74">
        <f>SUM(B10:B22)</f>
        <v>23515113</v>
      </c>
      <c r="C9" s="74">
        <f>SUM(C10:C22)</f>
        <v>23515113</v>
      </c>
      <c r="D9" s="74">
        <f>SUM(D10:D22)</f>
        <v>28343661</v>
      </c>
      <c r="E9" s="74">
        <f>SUM(E10:E21)</f>
        <v>4828548</v>
      </c>
      <c r="F9" s="75">
        <f t="shared" si="0"/>
        <v>0.20533807343388058</v>
      </c>
    </row>
    <row r="10" spans="1:6" ht="91.5">
      <c r="A10" s="77" t="s">
        <v>61</v>
      </c>
      <c r="B10" s="78">
        <v>647106</v>
      </c>
      <c r="C10" s="78">
        <v>647106</v>
      </c>
      <c r="D10" s="78">
        <v>5996000</v>
      </c>
      <c r="E10" s="78">
        <f aca="true" t="shared" si="1" ref="E10:E22">D10-C10</f>
        <v>5348894</v>
      </c>
      <c r="F10" s="79">
        <f t="shared" si="0"/>
        <v>8.26586988839541</v>
      </c>
    </row>
    <row r="11" spans="1:6" ht="91.5">
      <c r="A11" s="80" t="s">
        <v>62</v>
      </c>
      <c r="B11" s="78">
        <v>4456444</v>
      </c>
      <c r="C11" s="78">
        <v>4456444</v>
      </c>
      <c r="D11" s="78">
        <v>4680791</v>
      </c>
      <c r="E11" s="78">
        <f t="shared" si="1"/>
        <v>224347</v>
      </c>
      <c r="F11" s="79">
        <f t="shared" si="0"/>
        <v>0.05034215621244203</v>
      </c>
    </row>
    <row r="12" spans="1:6" ht="91.5">
      <c r="A12" s="80" t="s">
        <v>65</v>
      </c>
      <c r="B12" s="78">
        <v>18411563</v>
      </c>
      <c r="C12" s="78">
        <v>18411563</v>
      </c>
      <c r="D12" s="78">
        <v>17666870</v>
      </c>
      <c r="E12" s="78">
        <f t="shared" si="1"/>
        <v>-744693</v>
      </c>
      <c r="F12" s="79">
        <f t="shared" si="0"/>
        <v>-0.04044702777271001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 aca="true" t="shared" si="2" ref="F24:F30">IF(ISERROR(E24/C24),0,(E24/C24))</f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2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2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2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2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 t="shared" si="2"/>
        <v>0</v>
      </c>
    </row>
    <row r="30" spans="1:6" ht="91.5">
      <c r="A30" s="76" t="s">
        <v>14</v>
      </c>
      <c r="B30" s="85">
        <f>B29+B28+B27+B25+B24+B9+B8</f>
        <v>143011180</v>
      </c>
      <c r="C30" s="86">
        <f>C29+C28+C27+C25+C24+C9+C8</f>
        <v>143011180</v>
      </c>
      <c r="D30" s="86">
        <f>D29+D28+D27+D25+D24+D9+D8</f>
        <v>148898225</v>
      </c>
      <c r="E30" s="86">
        <f>D30-C30</f>
        <v>5887045</v>
      </c>
      <c r="F30" s="87">
        <f t="shared" si="2"/>
        <v>0.041164928504191074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>IF(ISERROR(E32/C32),0,(E32/C32))</f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29226179</v>
      </c>
      <c r="C34" s="74">
        <v>39169464</v>
      </c>
      <c r="D34" s="74">
        <v>39169464</v>
      </c>
      <c r="E34" s="74">
        <f>D34-C34</f>
        <v>0</v>
      </c>
      <c r="F34" s="75">
        <f>IF(ISERROR(E34/C34),0,(E34/C34))</f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18546722</v>
      </c>
      <c r="C36" s="74">
        <v>20223476</v>
      </c>
      <c r="D36" s="74">
        <v>19735767</v>
      </c>
      <c r="E36" s="74">
        <f>D36-C36</f>
        <v>-487709</v>
      </c>
      <c r="F36" s="75">
        <f>IF(ISERROR(E36/C36),0,(E36/C36))</f>
        <v>-0.024115982831042496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>IF(ISERROR(E38/C38),0,(E38/C38))</f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190784081</v>
      </c>
      <c r="C40" s="120">
        <f>C38+C36+C34+C30</f>
        <v>202404120</v>
      </c>
      <c r="D40" s="120">
        <f>D38+D36+D34+D30</f>
        <v>207803456</v>
      </c>
      <c r="E40" s="120">
        <f>D40-C40</f>
        <v>5399336</v>
      </c>
      <c r="F40" s="121">
        <f>IF(ISERROR(E40/C40),0,(E40/C40))</f>
        <v>0.026676018254964375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95868867</v>
      </c>
      <c r="C42" s="78">
        <v>107992206</v>
      </c>
      <c r="D42" s="78">
        <v>112402588</v>
      </c>
      <c r="E42" s="78">
        <f aca="true" t="shared" si="3" ref="E42:E49">D42-C42</f>
        <v>4410382</v>
      </c>
      <c r="F42" s="92">
        <f aca="true" t="shared" si="4" ref="F42:F55">IF(ISERROR(E42/C42),0,(E42/C42))</f>
        <v>0.040839817643877</v>
      </c>
    </row>
    <row r="43" spans="1:6" ht="91.5">
      <c r="A43" s="80" t="s">
        <v>20</v>
      </c>
      <c r="B43" s="78">
        <v>16451286</v>
      </c>
      <c r="C43" s="78">
        <v>17113112</v>
      </c>
      <c r="D43" s="78">
        <v>17800780</v>
      </c>
      <c r="E43" s="78">
        <f t="shared" si="3"/>
        <v>687668</v>
      </c>
      <c r="F43" s="90">
        <f t="shared" si="4"/>
        <v>0.040183690727905015</v>
      </c>
    </row>
    <row r="44" spans="1:6" ht="91.5">
      <c r="A44" s="80" t="s">
        <v>21</v>
      </c>
      <c r="B44" s="78">
        <v>7849743</v>
      </c>
      <c r="C44" s="78">
        <v>7886032</v>
      </c>
      <c r="D44" s="78">
        <v>7394733</v>
      </c>
      <c r="E44" s="78">
        <f t="shared" si="3"/>
        <v>-491299</v>
      </c>
      <c r="F44" s="90">
        <f t="shared" si="4"/>
        <v>-0.062299899366373354</v>
      </c>
    </row>
    <row r="45" spans="1:6" ht="91.5">
      <c r="A45" s="80" t="s">
        <v>49</v>
      </c>
      <c r="B45" s="78">
        <v>15808798</v>
      </c>
      <c r="C45" s="78">
        <v>15176214</v>
      </c>
      <c r="D45" s="78">
        <v>15642596</v>
      </c>
      <c r="E45" s="78">
        <f t="shared" si="3"/>
        <v>466382</v>
      </c>
      <c r="F45" s="90">
        <f t="shared" si="4"/>
        <v>0.030731116469496278</v>
      </c>
    </row>
    <row r="46" spans="1:6" ht="91.5">
      <c r="A46" s="80" t="s">
        <v>22</v>
      </c>
      <c r="B46" s="78">
        <v>1991342</v>
      </c>
      <c r="C46" s="78">
        <v>2604490</v>
      </c>
      <c r="D46" s="78">
        <v>2942316</v>
      </c>
      <c r="E46" s="78">
        <f t="shared" si="3"/>
        <v>337826</v>
      </c>
      <c r="F46" s="90">
        <f t="shared" si="4"/>
        <v>0.12970907932071155</v>
      </c>
    </row>
    <row r="47" spans="1:6" ht="91.5">
      <c r="A47" s="80" t="s">
        <v>23</v>
      </c>
      <c r="B47" s="78">
        <v>22926100</v>
      </c>
      <c r="C47" s="78">
        <v>23824868</v>
      </c>
      <c r="D47" s="78">
        <v>22610649</v>
      </c>
      <c r="E47" s="78">
        <f t="shared" si="3"/>
        <v>-1214219</v>
      </c>
      <c r="F47" s="90">
        <f t="shared" si="4"/>
        <v>-0.050964353716461304</v>
      </c>
    </row>
    <row r="48" spans="1:6" ht="91.5">
      <c r="A48" s="80" t="s">
        <v>24</v>
      </c>
      <c r="B48" s="78">
        <v>2048514</v>
      </c>
      <c r="C48" s="78">
        <v>1829690</v>
      </c>
      <c r="D48" s="78">
        <v>1778447</v>
      </c>
      <c r="E48" s="78">
        <f t="shared" si="3"/>
        <v>-51243</v>
      </c>
      <c r="F48" s="90">
        <f t="shared" si="4"/>
        <v>-0.028006383595035225</v>
      </c>
    </row>
    <row r="49" spans="1:6" ht="91.5">
      <c r="A49" s="80" t="s">
        <v>25</v>
      </c>
      <c r="B49" s="78">
        <v>27453416</v>
      </c>
      <c r="C49" s="78">
        <v>25535629</v>
      </c>
      <c r="D49" s="78">
        <v>26914750</v>
      </c>
      <c r="E49" s="78">
        <f t="shared" si="3"/>
        <v>1379121</v>
      </c>
      <c r="F49" s="90">
        <f t="shared" si="4"/>
        <v>0.05400771604255372</v>
      </c>
    </row>
    <row r="50" spans="1:6" ht="91.5">
      <c r="A50" s="93" t="s">
        <v>26</v>
      </c>
      <c r="B50" s="83">
        <f>SUM(B42:B49)</f>
        <v>190398066</v>
      </c>
      <c r="C50" s="83">
        <f>SUM(C42:C49)</f>
        <v>201962241</v>
      </c>
      <c r="D50" s="83">
        <f>SUM(D42:D49)</f>
        <v>207486859</v>
      </c>
      <c r="E50" s="74">
        <f>SUM(E42:E49)</f>
        <v>5524618</v>
      </c>
      <c r="F50" s="87">
        <f t="shared" si="4"/>
        <v>0.027354707358391808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>D51-C51</f>
        <v>0</v>
      </c>
      <c r="F51" s="90">
        <f t="shared" si="4"/>
        <v>0</v>
      </c>
    </row>
    <row r="52" spans="1:6" ht="91.5">
      <c r="A52" s="80" t="s">
        <v>28</v>
      </c>
      <c r="B52" s="78">
        <v>386015</v>
      </c>
      <c r="C52" s="78">
        <v>441879</v>
      </c>
      <c r="D52" s="78">
        <v>316597</v>
      </c>
      <c r="E52" s="78">
        <f>D52-C52</f>
        <v>-125282</v>
      </c>
      <c r="F52" s="90">
        <f t="shared" si="4"/>
        <v>-0.28352105440629677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f t="shared" si="4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>D54-C54</f>
        <v>0</v>
      </c>
      <c r="F54" s="90">
        <f t="shared" si="4"/>
        <v>0</v>
      </c>
    </row>
    <row r="55" spans="1:6" ht="91.5">
      <c r="A55" s="94" t="s">
        <v>31</v>
      </c>
      <c r="B55" s="85">
        <f>B54+B53+B52+B51+B50</f>
        <v>190784081</v>
      </c>
      <c r="C55" s="85">
        <f>C54+C53+C52+C51+C50</f>
        <v>202404120</v>
      </c>
      <c r="D55" s="85">
        <f>D54+D53+D52+D51+D50</f>
        <v>207803456</v>
      </c>
      <c r="E55" s="85">
        <f>D55-C55</f>
        <v>5399336</v>
      </c>
      <c r="F55" s="95">
        <f t="shared" si="4"/>
        <v>0.026676018254964375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92844270</v>
      </c>
      <c r="C57" s="78">
        <v>110015385</v>
      </c>
      <c r="D57" s="78">
        <v>112933946</v>
      </c>
      <c r="E57" s="78">
        <f aca="true" t="shared" si="5" ref="E57:E74">D57-C57</f>
        <v>2918561</v>
      </c>
      <c r="F57" s="92">
        <f aca="true" t="shared" si="6" ref="F57:F74">IF(ISERROR(E57/C57),0,(E57/C57))</f>
        <v>0.0265286623320911</v>
      </c>
    </row>
    <row r="58" spans="1:6" ht="91.5">
      <c r="A58" s="80" t="s">
        <v>34</v>
      </c>
      <c r="B58" s="78">
        <v>1731859</v>
      </c>
      <c r="C58" s="78">
        <v>1205160</v>
      </c>
      <c r="D58" s="78">
        <v>1951105</v>
      </c>
      <c r="E58" s="78">
        <f t="shared" si="5"/>
        <v>745945</v>
      </c>
      <c r="F58" s="90">
        <f t="shared" si="6"/>
        <v>0.6189593083076106</v>
      </c>
    </row>
    <row r="59" spans="1:6" ht="91.5">
      <c r="A59" s="80" t="s">
        <v>35</v>
      </c>
      <c r="B59" s="78">
        <v>19938875</v>
      </c>
      <c r="C59" s="78">
        <v>28698142</v>
      </c>
      <c r="D59" s="78">
        <v>30730894</v>
      </c>
      <c r="E59" s="78">
        <f t="shared" si="5"/>
        <v>2032752</v>
      </c>
      <c r="F59" s="90">
        <f t="shared" si="6"/>
        <v>0.07083218140045443</v>
      </c>
    </row>
    <row r="60" spans="1:6" ht="91.5">
      <c r="A60" s="93" t="s">
        <v>36</v>
      </c>
      <c r="B60" s="96">
        <f>SUM(B57:B59)</f>
        <v>114515004</v>
      </c>
      <c r="C60" s="96">
        <f>SUM(C57:C59)</f>
        <v>139918687</v>
      </c>
      <c r="D60" s="96">
        <f>SUM(D57:D59)</f>
        <v>145615945</v>
      </c>
      <c r="E60" s="96">
        <f t="shared" si="5"/>
        <v>5697258</v>
      </c>
      <c r="F60" s="97">
        <f t="shared" si="6"/>
        <v>0.040718349508239736</v>
      </c>
    </row>
    <row r="61" spans="1:6" ht="91.5">
      <c r="A61" s="80" t="s">
        <v>37</v>
      </c>
      <c r="B61" s="78">
        <v>756728</v>
      </c>
      <c r="C61" s="78">
        <v>1015000</v>
      </c>
      <c r="D61" s="78">
        <v>747810</v>
      </c>
      <c r="E61" s="78">
        <f t="shared" si="5"/>
        <v>-267190</v>
      </c>
      <c r="F61" s="90">
        <f t="shared" si="6"/>
        <v>-0.2632413793103448</v>
      </c>
    </row>
    <row r="62" spans="1:6" ht="91.5">
      <c r="A62" s="80" t="s">
        <v>38</v>
      </c>
      <c r="B62" s="78">
        <v>20270372</v>
      </c>
      <c r="C62" s="78">
        <v>13015802</v>
      </c>
      <c r="D62" s="78">
        <v>11097480</v>
      </c>
      <c r="E62" s="78">
        <f t="shared" si="5"/>
        <v>-1918322</v>
      </c>
      <c r="F62" s="90">
        <f t="shared" si="6"/>
        <v>-0.14738407975167417</v>
      </c>
    </row>
    <row r="63" spans="1:6" ht="91.5">
      <c r="A63" s="80" t="s">
        <v>39</v>
      </c>
      <c r="B63" s="78">
        <v>10043983</v>
      </c>
      <c r="C63" s="78">
        <v>5810743</v>
      </c>
      <c r="D63" s="78">
        <v>6342586</v>
      </c>
      <c r="E63" s="78">
        <f t="shared" si="5"/>
        <v>531843</v>
      </c>
      <c r="F63" s="90">
        <f t="shared" si="6"/>
        <v>0.09152753787252337</v>
      </c>
    </row>
    <row r="64" spans="1:6" ht="91.5">
      <c r="A64" s="76" t="s">
        <v>40</v>
      </c>
      <c r="B64" s="83">
        <f>SUM(B61:B63)</f>
        <v>31071083</v>
      </c>
      <c r="C64" s="83">
        <f>SUM(C61:C63)</f>
        <v>19841545</v>
      </c>
      <c r="D64" s="83">
        <f>SUM(D61:D63)</f>
        <v>18187876</v>
      </c>
      <c r="E64" s="83">
        <f t="shared" si="5"/>
        <v>-1653669</v>
      </c>
      <c r="F64" s="87">
        <f t="shared" si="6"/>
        <v>-0.08334376178871152</v>
      </c>
    </row>
    <row r="65" spans="1:6" ht="91.5">
      <c r="A65" s="80" t="s">
        <v>41</v>
      </c>
      <c r="B65" s="78">
        <v>3409890</v>
      </c>
      <c r="C65" s="78">
        <v>3194893</v>
      </c>
      <c r="D65" s="78">
        <v>2948180</v>
      </c>
      <c r="E65" s="78">
        <f t="shared" si="5"/>
        <v>-246713</v>
      </c>
      <c r="F65" s="90">
        <f t="shared" si="6"/>
        <v>-0.07722105247343182</v>
      </c>
    </row>
    <row r="66" spans="1:6" ht="91.5">
      <c r="A66" s="80" t="s">
        <v>42</v>
      </c>
      <c r="B66" s="78">
        <v>22655163</v>
      </c>
      <c r="C66" s="78">
        <v>21486098</v>
      </c>
      <c r="D66" s="78">
        <v>22006236</v>
      </c>
      <c r="E66" s="78">
        <f t="shared" si="5"/>
        <v>520138</v>
      </c>
      <c r="F66" s="90">
        <f t="shared" si="6"/>
        <v>0.024208118198101862</v>
      </c>
    </row>
    <row r="67" spans="1:6" ht="91.5">
      <c r="A67" s="80" t="s">
        <v>43</v>
      </c>
      <c r="B67" s="78">
        <v>386015</v>
      </c>
      <c r="C67" s="78">
        <v>386015</v>
      </c>
      <c r="D67" s="78">
        <v>260733</v>
      </c>
      <c r="E67" s="78">
        <f t="shared" si="5"/>
        <v>-125282</v>
      </c>
      <c r="F67" s="90">
        <f t="shared" si="6"/>
        <v>-0.3245521547090139</v>
      </c>
    </row>
    <row r="68" spans="1:6" ht="91.5">
      <c r="A68" s="80" t="s">
        <v>44</v>
      </c>
      <c r="B68" s="78">
        <v>9632449</v>
      </c>
      <c r="C68" s="78">
        <v>10153857</v>
      </c>
      <c r="D68" s="78">
        <v>8132415</v>
      </c>
      <c r="E68" s="78">
        <f t="shared" si="5"/>
        <v>-2021442</v>
      </c>
      <c r="F68" s="90">
        <f t="shared" si="6"/>
        <v>-0.19908119643599473</v>
      </c>
    </row>
    <row r="69" spans="1:6" ht="91.5">
      <c r="A69" s="76" t="s">
        <v>45</v>
      </c>
      <c r="B69" s="85">
        <f>SUM(B65:B68)</f>
        <v>36083517</v>
      </c>
      <c r="C69" s="85">
        <f>SUM(C65:C68)</f>
        <v>35220863</v>
      </c>
      <c r="D69" s="85">
        <f>SUM(D65:D68)</f>
        <v>33347564</v>
      </c>
      <c r="E69" s="85">
        <f t="shared" si="5"/>
        <v>-1873299</v>
      </c>
      <c r="F69" s="87">
        <f t="shared" si="6"/>
        <v>-0.053187197599331965</v>
      </c>
    </row>
    <row r="70" spans="1:6" ht="91.5">
      <c r="A70" s="80" t="s">
        <v>57</v>
      </c>
      <c r="B70" s="78">
        <v>5918201</v>
      </c>
      <c r="C70" s="78">
        <v>2389142</v>
      </c>
      <c r="D70" s="78">
        <v>1758488</v>
      </c>
      <c r="E70" s="78">
        <f t="shared" si="5"/>
        <v>-630654</v>
      </c>
      <c r="F70" s="90">
        <f t="shared" si="6"/>
        <v>-0.26396672947861616</v>
      </c>
    </row>
    <row r="71" spans="1:6" ht="91.5">
      <c r="A71" s="80" t="s">
        <v>46</v>
      </c>
      <c r="B71" s="78">
        <v>1410592</v>
      </c>
      <c r="C71" s="78">
        <v>1426883</v>
      </c>
      <c r="D71" s="78">
        <v>1496142</v>
      </c>
      <c r="E71" s="78">
        <f t="shared" si="5"/>
        <v>69259</v>
      </c>
      <c r="F71" s="90">
        <f t="shared" si="6"/>
        <v>0.048538667851533726</v>
      </c>
    </row>
    <row r="72" spans="1:6" ht="91.5">
      <c r="A72" s="98" t="s">
        <v>47</v>
      </c>
      <c r="B72" s="78">
        <v>1785684</v>
      </c>
      <c r="C72" s="78">
        <v>3607000</v>
      </c>
      <c r="D72" s="78">
        <v>7397441</v>
      </c>
      <c r="E72" s="78">
        <f t="shared" si="5"/>
        <v>3790441</v>
      </c>
      <c r="F72" s="90">
        <f t="shared" si="6"/>
        <v>1.0508569448294982</v>
      </c>
    </row>
    <row r="73" spans="1:6" ht="91.5">
      <c r="A73" s="99" t="s">
        <v>48</v>
      </c>
      <c r="B73" s="85">
        <f>SUM(B70:B72)</f>
        <v>9114477</v>
      </c>
      <c r="C73" s="85">
        <f>SUM(C70:C72)</f>
        <v>7423025</v>
      </c>
      <c r="D73" s="85">
        <f>SUM(D70:D72)</f>
        <v>10652071</v>
      </c>
      <c r="E73" s="85">
        <f t="shared" si="5"/>
        <v>3229046</v>
      </c>
      <c r="F73" s="95">
        <f t="shared" si="6"/>
        <v>0.43500405831854266</v>
      </c>
    </row>
    <row r="74" spans="1:6" ht="91.5">
      <c r="A74" s="94" t="s">
        <v>31</v>
      </c>
      <c r="B74" s="85">
        <f>B73+B69+B64+B60</f>
        <v>190784081</v>
      </c>
      <c r="C74" s="85">
        <f>C73+C69+C64+C60</f>
        <v>202404120</v>
      </c>
      <c r="D74" s="85">
        <f>D73+D69+D64+D60</f>
        <v>207803456</v>
      </c>
      <c r="E74" s="85">
        <f t="shared" si="5"/>
        <v>5399336</v>
      </c>
      <c r="F74" s="95">
        <f t="shared" si="6"/>
        <v>0.026676018254964375</v>
      </c>
    </row>
    <row r="75" ht="91.5">
      <c r="A75" s="56" t="s">
        <v>187</v>
      </c>
    </row>
    <row r="76" ht="91.5">
      <c r="F76" s="100"/>
    </row>
    <row r="77" spans="1:6" ht="91.5">
      <c r="A77" s="56" t="s">
        <v>0</v>
      </c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="35" zoomScaleNormal="35" zoomScalePageLayoutView="0" workbookViewId="0" topLeftCell="A37">
      <selection activeCell="B1" sqref="B1"/>
    </sheetView>
  </sheetViews>
  <sheetFormatPr defaultColWidth="66.4453125" defaultRowHeight="15"/>
  <cols>
    <col min="1" max="1" width="255.77734375" style="56" bestFit="1" customWidth="1"/>
    <col min="2" max="4" width="61.99609375" style="51" bestFit="1" customWidth="1"/>
    <col min="5" max="5" width="70.88671875" style="51" bestFit="1" customWidth="1"/>
    <col min="6" max="6" width="52.77734375" style="57" bestFit="1" customWidth="1"/>
    <col min="7" max="16384" width="66.4453125" style="56" customWidth="1"/>
  </cols>
  <sheetData>
    <row r="1" spans="1:6" ht="91.5">
      <c r="A1" s="50" t="s">
        <v>3</v>
      </c>
      <c r="B1" s="56"/>
      <c r="C1" s="56"/>
      <c r="D1" s="50"/>
      <c r="E1" s="50" t="s">
        <v>6</v>
      </c>
      <c r="F1" s="123" t="s">
        <v>175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36648305</v>
      </c>
      <c r="C8" s="74">
        <v>36648305</v>
      </c>
      <c r="D8" s="74">
        <v>10758058</v>
      </c>
      <c r="E8" s="74">
        <f>D8-C8</f>
        <v>-25890247</v>
      </c>
      <c r="F8" s="75">
        <f>IF(ISERROR(E8/C8),0,(E8/C8))</f>
        <v>-0.7064514170573509</v>
      </c>
    </row>
    <row r="9" spans="1:6" ht="91.5">
      <c r="A9" s="76" t="s">
        <v>60</v>
      </c>
      <c r="B9" s="74">
        <v>0</v>
      </c>
      <c r="C9" s="74">
        <v>0</v>
      </c>
      <c r="D9" s="74">
        <v>0</v>
      </c>
      <c r="E9" s="74">
        <f>D9-C9</f>
        <v>0</v>
      </c>
      <c r="F9" s="75">
        <f aca="true" t="shared" si="0" ref="F9:F40">IF(ISERROR(E9/C9),0,(E9/C9))</f>
        <v>0</v>
      </c>
    </row>
    <row r="10" spans="1:6" ht="91.5">
      <c r="A10" s="77" t="s">
        <v>61</v>
      </c>
      <c r="B10" s="78">
        <v>0</v>
      </c>
      <c r="C10" s="78">
        <v>0</v>
      </c>
      <c r="D10" s="78">
        <v>0</v>
      </c>
      <c r="E10" s="78">
        <f aca="true" t="shared" si="1" ref="E10:E30">D10-C10</f>
        <v>0</v>
      </c>
      <c r="F10" s="79">
        <f t="shared" si="0"/>
        <v>0</v>
      </c>
    </row>
    <row r="11" spans="1:6" ht="91.5">
      <c r="A11" s="80" t="s">
        <v>62</v>
      </c>
      <c r="B11" s="78">
        <v>0</v>
      </c>
      <c r="C11" s="78">
        <v>0</v>
      </c>
      <c r="D11" s="78">
        <v>0</v>
      </c>
      <c r="E11" s="78">
        <f t="shared" si="1"/>
        <v>0</v>
      </c>
      <c r="F11" s="79">
        <f t="shared" si="0"/>
        <v>0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 t="shared" si="1"/>
        <v>0</v>
      </c>
      <c r="F24" s="79">
        <f t="shared" si="0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1"/>
        <v>0</v>
      </c>
      <c r="F25" s="79">
        <f t="shared" si="0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0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 t="shared" si="1"/>
        <v>0</v>
      </c>
      <c r="F27" s="79">
        <f t="shared" si="0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 t="shared" si="1"/>
        <v>0</v>
      </c>
      <c r="F28" s="79">
        <f t="shared" si="0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 t="shared" si="1"/>
        <v>0</v>
      </c>
      <c r="F29" s="79">
        <f t="shared" si="0"/>
        <v>0</v>
      </c>
    </row>
    <row r="30" spans="1:6" ht="91.5">
      <c r="A30" s="76" t="s">
        <v>14</v>
      </c>
      <c r="B30" s="85">
        <f>B29+B28+B27+B25+B24+B9+B8</f>
        <v>36648305</v>
      </c>
      <c r="C30" s="86">
        <f>C29+C28+C27+C25+C24+C9+C8</f>
        <v>36648305</v>
      </c>
      <c r="D30" s="86">
        <f>D29+D28+D27+D25+D24+D9+D8</f>
        <v>10758058</v>
      </c>
      <c r="E30" s="86">
        <f t="shared" si="1"/>
        <v>-25890247</v>
      </c>
      <c r="F30" s="87">
        <f t="shared" si="0"/>
        <v>-0.7064514170573509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-539585</v>
      </c>
      <c r="C32" s="74">
        <v>0</v>
      </c>
      <c r="D32" s="74">
        <v>0</v>
      </c>
      <c r="E32" s="74">
        <f>D32-C32</f>
        <v>0</v>
      </c>
      <c r="F32" s="75">
        <f t="shared" si="0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 t="shared" si="0"/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0</v>
      </c>
      <c r="C36" s="74">
        <v>0</v>
      </c>
      <c r="D36" s="74">
        <v>0</v>
      </c>
      <c r="E36" s="74">
        <f>D36-C36</f>
        <v>0</v>
      </c>
      <c r="F36" s="75">
        <f t="shared" si="0"/>
        <v>0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 t="shared" si="0"/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B38+B36+B34+B30+B32</f>
        <v>36108720</v>
      </c>
      <c r="C40" s="120">
        <f>C38+C36+C34+C30</f>
        <v>36648305</v>
      </c>
      <c r="D40" s="120">
        <f>D38+D36+D34+D30</f>
        <v>10758058</v>
      </c>
      <c r="E40" s="120">
        <f>D40-C40</f>
        <v>-25890247</v>
      </c>
      <c r="F40" s="121">
        <f t="shared" si="0"/>
        <v>-0.7064514170573509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0</v>
      </c>
      <c r="C42" s="78">
        <v>0</v>
      </c>
      <c r="D42" s="78">
        <v>0</v>
      </c>
      <c r="E42" s="78">
        <f aca="true" t="shared" si="2" ref="E42:E54">D42-C42</f>
        <v>0</v>
      </c>
      <c r="F42" s="92">
        <f aca="true" t="shared" si="3" ref="F42:F55">IF(ISERROR(E42/C42),0,(E42/C42))</f>
        <v>0</v>
      </c>
    </row>
    <row r="43" spans="1:6" ht="91.5">
      <c r="A43" s="80" t="s">
        <v>20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3"/>
        <v>0</v>
      </c>
    </row>
    <row r="44" spans="1:6" ht="91.5">
      <c r="A44" s="80" t="s">
        <v>21</v>
      </c>
      <c r="B44" s="78">
        <v>0</v>
      </c>
      <c r="C44" s="78">
        <v>0</v>
      </c>
      <c r="D44" s="78">
        <v>0</v>
      </c>
      <c r="E44" s="78">
        <f t="shared" si="2"/>
        <v>0</v>
      </c>
      <c r="F44" s="90">
        <f t="shared" si="3"/>
        <v>0</v>
      </c>
    </row>
    <row r="45" spans="1:6" ht="91.5">
      <c r="A45" s="80" t="s">
        <v>49</v>
      </c>
      <c r="B45" s="78">
        <v>0</v>
      </c>
      <c r="C45" s="78">
        <v>0</v>
      </c>
      <c r="D45" s="78">
        <v>0</v>
      </c>
      <c r="E45" s="78">
        <f t="shared" si="2"/>
        <v>0</v>
      </c>
      <c r="F45" s="90">
        <f t="shared" si="3"/>
        <v>0</v>
      </c>
    </row>
    <row r="46" spans="1:6" ht="91.5">
      <c r="A46" s="80" t="s">
        <v>22</v>
      </c>
      <c r="B46" s="78">
        <v>0</v>
      </c>
      <c r="C46" s="78">
        <v>0</v>
      </c>
      <c r="D46" s="78">
        <v>0</v>
      </c>
      <c r="E46" s="78">
        <f t="shared" si="2"/>
        <v>0</v>
      </c>
      <c r="F46" s="90">
        <f t="shared" si="3"/>
        <v>0</v>
      </c>
    </row>
    <row r="47" spans="1:6" ht="91.5">
      <c r="A47" s="80" t="s">
        <v>23</v>
      </c>
      <c r="B47" s="78">
        <v>35965444</v>
      </c>
      <c r="C47" s="78">
        <v>36585105</v>
      </c>
      <c r="D47" s="78">
        <v>10682878</v>
      </c>
      <c r="E47" s="78">
        <f t="shared" si="2"/>
        <v>-25902227</v>
      </c>
      <c r="F47" s="90">
        <f t="shared" si="3"/>
        <v>-0.7079992527013385</v>
      </c>
    </row>
    <row r="48" spans="1:6" ht="91.5">
      <c r="A48" s="80" t="s">
        <v>24</v>
      </c>
      <c r="B48" s="78">
        <v>0</v>
      </c>
      <c r="C48" s="78">
        <v>0</v>
      </c>
      <c r="D48" s="78">
        <v>0</v>
      </c>
      <c r="E48" s="78">
        <f t="shared" si="2"/>
        <v>0</v>
      </c>
      <c r="F48" s="90">
        <f t="shared" si="3"/>
        <v>0</v>
      </c>
    </row>
    <row r="49" spans="1:6" ht="91.5">
      <c r="A49" s="80" t="s">
        <v>25</v>
      </c>
      <c r="B49" s="78">
        <v>143276</v>
      </c>
      <c r="C49" s="78">
        <v>63200</v>
      </c>
      <c r="D49" s="78">
        <v>75180</v>
      </c>
      <c r="E49" s="78">
        <f t="shared" si="2"/>
        <v>11980</v>
      </c>
      <c r="F49" s="90">
        <f t="shared" si="3"/>
        <v>0.18955696202531647</v>
      </c>
    </row>
    <row r="50" spans="1:6" ht="91.5">
      <c r="A50" s="93" t="s">
        <v>26</v>
      </c>
      <c r="B50" s="83">
        <f>SUM(B42:B49)</f>
        <v>36108720</v>
      </c>
      <c r="C50" s="83">
        <f>SUM(C42:C49)</f>
        <v>36648305</v>
      </c>
      <c r="D50" s="83">
        <f>SUM(D42:D49)</f>
        <v>10758058</v>
      </c>
      <c r="E50" s="74">
        <f>SUM(E42:E49)</f>
        <v>-25890247</v>
      </c>
      <c r="F50" s="87">
        <f t="shared" si="3"/>
        <v>-0.7064514170573509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2"/>
        <v>0</v>
      </c>
      <c r="F51" s="90">
        <f t="shared" si="3"/>
        <v>0</v>
      </c>
    </row>
    <row r="52" spans="1:6" ht="91.5">
      <c r="A52" s="80" t="s">
        <v>28</v>
      </c>
      <c r="B52" s="78">
        <v>0</v>
      </c>
      <c r="C52" s="78">
        <v>0</v>
      </c>
      <c r="D52" s="78">
        <v>0</v>
      </c>
      <c r="E52" s="78">
        <f t="shared" si="2"/>
        <v>0</v>
      </c>
      <c r="F52" s="90">
        <f t="shared" si="3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 t="shared" si="2"/>
        <v>0</v>
      </c>
      <c r="F53" s="90">
        <f t="shared" si="3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 t="shared" si="2"/>
        <v>0</v>
      </c>
      <c r="F54" s="90">
        <f t="shared" si="3"/>
        <v>0</v>
      </c>
    </row>
    <row r="55" spans="1:6" ht="91.5">
      <c r="A55" s="94" t="s">
        <v>31</v>
      </c>
      <c r="B55" s="85">
        <f>B54+B53+B52+B51+B50</f>
        <v>36108720</v>
      </c>
      <c r="C55" s="85">
        <f>C54+C53+C52+C51+C50</f>
        <v>36648305</v>
      </c>
      <c r="D55" s="85">
        <f>D54+D53+D52+D51+D50</f>
        <v>10758058</v>
      </c>
      <c r="E55" s="85">
        <f>D55-C55</f>
        <v>-25890247</v>
      </c>
      <c r="F55" s="95">
        <f t="shared" si="3"/>
        <v>-0.7064514170573509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660436</v>
      </c>
      <c r="C57" s="78">
        <v>674543</v>
      </c>
      <c r="D57" s="78">
        <v>2188289</v>
      </c>
      <c r="E57" s="78">
        <f>D57-C57</f>
        <v>1513746</v>
      </c>
      <c r="F57" s="92">
        <f aca="true" t="shared" si="4" ref="F57:F74">IF(ISERROR(E57/C57),0,(E57/C57))</f>
        <v>2.2441060095501695</v>
      </c>
    </row>
    <row r="58" spans="1:6" ht="91.5">
      <c r="A58" s="80" t="s">
        <v>34</v>
      </c>
      <c r="B58" s="78">
        <v>96154</v>
      </c>
      <c r="C58" s="78">
        <v>26000</v>
      </c>
      <c r="D58" s="78">
        <v>26000</v>
      </c>
      <c r="E58" s="78">
        <f>D58-C58</f>
        <v>0</v>
      </c>
      <c r="F58" s="90">
        <f t="shared" si="4"/>
        <v>0</v>
      </c>
    </row>
    <row r="59" spans="1:6" ht="91.5">
      <c r="A59" s="80" t="s">
        <v>35</v>
      </c>
      <c r="B59" s="78">
        <v>127128</v>
      </c>
      <c r="C59" s="78">
        <v>339840</v>
      </c>
      <c r="D59" s="78">
        <v>692788</v>
      </c>
      <c r="E59" s="78">
        <f>D59-C59</f>
        <v>352948</v>
      </c>
      <c r="F59" s="90">
        <f t="shared" si="4"/>
        <v>1.0385710922787195</v>
      </c>
    </row>
    <row r="60" spans="1:6" ht="91.5">
      <c r="A60" s="93" t="s">
        <v>36</v>
      </c>
      <c r="B60" s="96">
        <f>SUM(B57:B59)</f>
        <v>883718</v>
      </c>
      <c r="C60" s="96">
        <f>SUM(C57:C59)</f>
        <v>1040383</v>
      </c>
      <c r="D60" s="96">
        <f>SUM(D57:D59)</f>
        <v>2907077</v>
      </c>
      <c r="E60" s="96">
        <f aca="true" t="shared" si="5" ref="E60:E74">D60-C60</f>
        <v>1866694</v>
      </c>
      <c r="F60" s="97">
        <f t="shared" si="4"/>
        <v>1.7942373145274384</v>
      </c>
    </row>
    <row r="61" spans="1:6" ht="91.5">
      <c r="A61" s="80" t="s">
        <v>37</v>
      </c>
      <c r="B61" s="78">
        <v>42541</v>
      </c>
      <c r="C61" s="78">
        <v>26020</v>
      </c>
      <c r="D61" s="78">
        <v>29020</v>
      </c>
      <c r="E61" s="78">
        <f t="shared" si="5"/>
        <v>3000</v>
      </c>
      <c r="F61" s="90">
        <f t="shared" si="4"/>
        <v>0.11529592621060722</v>
      </c>
    </row>
    <row r="62" spans="1:6" ht="91.5">
      <c r="A62" s="80" t="s">
        <v>38</v>
      </c>
      <c r="B62" s="78">
        <v>382795</v>
      </c>
      <c r="C62" s="78">
        <v>121723</v>
      </c>
      <c r="D62" s="78">
        <v>172557</v>
      </c>
      <c r="E62" s="78">
        <f t="shared" si="5"/>
        <v>50834</v>
      </c>
      <c r="F62" s="90">
        <f t="shared" si="4"/>
        <v>0.417620334694347</v>
      </c>
    </row>
    <row r="63" spans="1:6" ht="91.5">
      <c r="A63" s="80" t="s">
        <v>39</v>
      </c>
      <c r="B63" s="78">
        <v>40906</v>
      </c>
      <c r="C63" s="78">
        <v>22700</v>
      </c>
      <c r="D63" s="78">
        <v>22700</v>
      </c>
      <c r="E63" s="78">
        <f t="shared" si="5"/>
        <v>0</v>
      </c>
      <c r="F63" s="90">
        <f t="shared" si="4"/>
        <v>0</v>
      </c>
    </row>
    <row r="64" spans="1:6" ht="91.5">
      <c r="A64" s="76" t="s">
        <v>40</v>
      </c>
      <c r="B64" s="83">
        <f>SUM(B61:B63)</f>
        <v>466242</v>
      </c>
      <c r="C64" s="83">
        <f>SUM(C61:C63)</f>
        <v>170443</v>
      </c>
      <c r="D64" s="83">
        <f>SUM(D61:D63)</f>
        <v>224277</v>
      </c>
      <c r="E64" s="83">
        <f t="shared" si="5"/>
        <v>53834</v>
      </c>
      <c r="F64" s="87">
        <f t="shared" si="4"/>
        <v>0.31584752673914446</v>
      </c>
    </row>
    <row r="65" spans="1:6" ht="91.5">
      <c r="A65" s="80" t="s">
        <v>41</v>
      </c>
      <c r="B65" s="78">
        <v>1755760</v>
      </c>
      <c r="C65" s="78">
        <v>1342965</v>
      </c>
      <c r="D65" s="78">
        <v>1342965</v>
      </c>
      <c r="E65" s="78">
        <f t="shared" si="5"/>
        <v>0</v>
      </c>
      <c r="F65" s="90">
        <f t="shared" si="4"/>
        <v>0</v>
      </c>
    </row>
    <row r="66" spans="1:6" ht="91.5">
      <c r="A66" s="80" t="s">
        <v>42</v>
      </c>
      <c r="B66" s="78">
        <v>33003000</v>
      </c>
      <c r="C66" s="78">
        <v>30612021</v>
      </c>
      <c r="D66" s="78">
        <v>1306126</v>
      </c>
      <c r="E66" s="78">
        <f t="shared" si="5"/>
        <v>-29305895</v>
      </c>
      <c r="F66" s="90">
        <f t="shared" si="4"/>
        <v>-0.9573329052662024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5"/>
        <v>0</v>
      </c>
      <c r="F67" s="90">
        <f t="shared" si="4"/>
        <v>0</v>
      </c>
    </row>
    <row r="68" spans="1:6" ht="91.5">
      <c r="A68" s="80" t="s">
        <v>44</v>
      </c>
      <c r="B68" s="78">
        <v>0</v>
      </c>
      <c r="C68" s="78">
        <v>3482493</v>
      </c>
      <c r="D68" s="78">
        <v>4977613</v>
      </c>
      <c r="E68" s="78">
        <f t="shared" si="5"/>
        <v>1495120</v>
      </c>
      <c r="F68" s="90">
        <f t="shared" si="4"/>
        <v>0.4293246246295398</v>
      </c>
    </row>
    <row r="69" spans="1:6" ht="91.5">
      <c r="A69" s="76" t="s">
        <v>45</v>
      </c>
      <c r="B69" s="85">
        <f>SUM(B65:B68)</f>
        <v>34758760</v>
      </c>
      <c r="C69" s="85">
        <f>SUM(C65:C68)</f>
        <v>35437479</v>
      </c>
      <c r="D69" s="85">
        <f>SUM(D65:D68)</f>
        <v>7626704</v>
      </c>
      <c r="E69" s="85">
        <f t="shared" si="5"/>
        <v>-27810775</v>
      </c>
      <c r="F69" s="87">
        <f t="shared" si="4"/>
        <v>-0.7847842393077679</v>
      </c>
    </row>
    <row r="70" spans="1:6" ht="91.5">
      <c r="A70" s="80" t="s">
        <v>57</v>
      </c>
      <c r="B70" s="78">
        <v>0</v>
      </c>
      <c r="C70" s="78">
        <v>0</v>
      </c>
      <c r="D70" s="78">
        <v>0</v>
      </c>
      <c r="E70" s="78">
        <f t="shared" si="5"/>
        <v>0</v>
      </c>
      <c r="F70" s="90">
        <f t="shared" si="4"/>
        <v>0</v>
      </c>
    </row>
    <row r="71" spans="1:6" ht="91.5">
      <c r="A71" s="80" t="s">
        <v>46</v>
      </c>
      <c r="B71" s="78">
        <v>0</v>
      </c>
      <c r="C71" s="78">
        <v>0</v>
      </c>
      <c r="D71" s="78">
        <v>0</v>
      </c>
      <c r="E71" s="78">
        <f t="shared" si="5"/>
        <v>0</v>
      </c>
      <c r="F71" s="90">
        <f t="shared" si="4"/>
        <v>0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5"/>
        <v>0</v>
      </c>
      <c r="F72" s="90">
        <f t="shared" si="4"/>
        <v>0</v>
      </c>
    </row>
    <row r="73" spans="1:6" ht="91.5">
      <c r="A73" s="99" t="s">
        <v>48</v>
      </c>
      <c r="B73" s="85">
        <f>SUM(B70:B72)</f>
        <v>0</v>
      </c>
      <c r="C73" s="85">
        <f>SUM(C70:C72)</f>
        <v>0</v>
      </c>
      <c r="D73" s="85">
        <f>SUM(D70:D72)</f>
        <v>0</v>
      </c>
      <c r="E73" s="85">
        <f t="shared" si="5"/>
        <v>0</v>
      </c>
      <c r="F73" s="95">
        <f t="shared" si="4"/>
        <v>0</v>
      </c>
    </row>
    <row r="74" spans="1:6" ht="91.5">
      <c r="A74" s="94" t="s">
        <v>31</v>
      </c>
      <c r="B74" s="85">
        <f>B73+B69+B64+B60</f>
        <v>36108720</v>
      </c>
      <c r="C74" s="85">
        <f>C73+C69+C64+C60</f>
        <v>36648305</v>
      </c>
      <c r="D74" s="85">
        <f>D73+D69+D64+D60</f>
        <v>10758058</v>
      </c>
      <c r="E74" s="85">
        <f t="shared" si="5"/>
        <v>-25890247</v>
      </c>
      <c r="F74" s="95">
        <f t="shared" si="4"/>
        <v>-0.7064514170573509</v>
      </c>
    </row>
    <row r="75" ht="91.5">
      <c r="A75" s="56" t="s">
        <v>186</v>
      </c>
    </row>
    <row r="76" spans="1:6" ht="91.5">
      <c r="A76" s="56" t="s">
        <v>0</v>
      </c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35" zoomScaleNormal="35" zoomScalePageLayoutView="0" workbookViewId="0" topLeftCell="B36">
      <selection activeCell="D74" sqref="D74"/>
    </sheetView>
  </sheetViews>
  <sheetFormatPr defaultColWidth="61.77734375" defaultRowHeight="15"/>
  <cols>
    <col min="1" max="1" width="255.77734375" style="56" bestFit="1" customWidth="1"/>
    <col min="2" max="4" width="67.77734375" style="51" bestFit="1" customWidth="1"/>
    <col min="5" max="5" width="86.4453125" style="51" bestFit="1" customWidth="1"/>
    <col min="6" max="6" width="48.99609375" style="57" bestFit="1" customWidth="1"/>
    <col min="7" max="16384" width="61.77734375" style="56" customWidth="1"/>
  </cols>
  <sheetData>
    <row r="1" spans="1:6" ht="91.5">
      <c r="A1" s="50" t="s">
        <v>3</v>
      </c>
      <c r="C1" s="52"/>
      <c r="D1" s="53" t="s">
        <v>6</v>
      </c>
      <c r="E1" s="124" t="s">
        <v>180</v>
      </c>
      <c r="F1" s="56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95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f>SUBR!B8+SULAW!B8+SUNO!B8+SUSBO!B8+SUBOS!B8+SUAG!B8</f>
        <v>82464013</v>
      </c>
      <c r="C8" s="74">
        <f>SUBR!C8+SULAW!C8+SUNO!C8+SUSBO!C8+SUBOS!C8+SUAG!C8</f>
        <v>82464013</v>
      </c>
      <c r="D8" s="74">
        <f>SUBR!D8+SULAW!D8+SUNO!D8+SUSBO!D8+SUBOS!D8+SUAG!D8</f>
        <v>91704072</v>
      </c>
      <c r="E8" s="74">
        <f>SUBR!E8+SULAW!E8+SUNO!E8+SUSBO!E8+SUBOS!E8+SUAG!E8</f>
        <v>9240059</v>
      </c>
      <c r="F8" s="75">
        <f>E8/C8</f>
        <v>0.11204959186257404</v>
      </c>
    </row>
    <row r="9" spans="1:6" ht="91.5">
      <c r="A9" s="76" t="s">
        <v>60</v>
      </c>
      <c r="B9" s="74">
        <f>SUBR!B9+SULAW!B9+SUNO!B9+SUSBO!B9+SUBOS!B9+SUAG!B9</f>
        <v>6038050</v>
      </c>
      <c r="C9" s="74">
        <f>SUBR!C9+SULAW!C9+SUNO!C9+SUSBO!C9+SUBOS!C9+SUAG!C9</f>
        <v>6038050</v>
      </c>
      <c r="D9" s="74">
        <f>SUBR!D9+SULAW!D9+SUNO!D9+SUSBO!D9+SUBOS!D9+SUAG!D9</f>
        <v>5980802</v>
      </c>
      <c r="E9" s="74">
        <f>SUBR!E9+SULAW!E9+SUNO!E9+SUSBO!E9+SUBOS!E9+SUAG!E9</f>
        <v>-57248</v>
      </c>
      <c r="F9" s="75">
        <f>E9/C9</f>
        <v>-0.00948120668096488</v>
      </c>
    </row>
    <row r="10" spans="1:6" ht="91.5">
      <c r="A10" s="77" t="s">
        <v>61</v>
      </c>
      <c r="B10" s="78">
        <f>SUBR!B10+SULAW!B10+SUNO!B10+SUSBO!B10+SUBOS!B10+SUAG!B10</f>
        <v>1523223</v>
      </c>
      <c r="C10" s="78">
        <f>SUBR!C10+SULAW!C10+SUNO!C10+SUSBO!C10+SUBOS!C10+SUAG!C10</f>
        <v>1523223</v>
      </c>
      <c r="D10" s="78">
        <f>SUBR!D10+SULAW!D10+SUNO!D10+SUSBO!D10+SUBOS!D10+SUAG!D10</f>
        <v>969260</v>
      </c>
      <c r="E10" s="78">
        <f>SUBR!E10+SULAW!E10+SUNO!E10+SUSBO!E10+SUBOS!E10+SUAG!E10</f>
        <v>-553963</v>
      </c>
      <c r="F10" s="79">
        <f>E10/C10</f>
        <v>-0.3636782007624622</v>
      </c>
    </row>
    <row r="11" spans="1:6" ht="91.5">
      <c r="A11" s="80" t="s">
        <v>62</v>
      </c>
      <c r="B11" s="78">
        <f>SUBR!B11+SULAW!B11+SUNO!B11+SUSBO!B11+SUBOS!B11+SUAG!B11</f>
        <v>2704978</v>
      </c>
      <c r="C11" s="78">
        <f>SUBR!C11+SULAW!C11+SUNO!C11+SUSBO!C11+SUBOS!C11+SUAG!C11</f>
        <v>2704978</v>
      </c>
      <c r="D11" s="78">
        <f>SUBR!D11+SULAW!D11+SUNO!D11+SUSBO!D11+SUBOS!D11+SUAG!D11</f>
        <v>3211542</v>
      </c>
      <c r="E11" s="78">
        <f>SUBR!E11+SULAW!E11+SUNO!E11+SUSBO!E11+SUBOS!E11+SUAG!E11</f>
        <v>506564</v>
      </c>
      <c r="F11" s="79">
        <f>E11/C11</f>
        <v>0.18727102401572213</v>
      </c>
    </row>
    <row r="12" spans="1:6" ht="91.5">
      <c r="A12" s="80" t="s">
        <v>65</v>
      </c>
      <c r="B12" s="78">
        <f>SUBR!B12+SULAW!B12+SUNO!B12+SUSBO!B12+SUBOS!B12+SUAG!B12</f>
        <v>1009849</v>
      </c>
      <c r="C12" s="78">
        <f>SUBR!C12+SULAW!C12+SUNO!C12+SUSBO!C12+SUBOS!C12+SUAG!C12</f>
        <v>1009849</v>
      </c>
      <c r="D12" s="78">
        <f>SUBR!D12+SULAW!D12+SUNO!D12+SUSBO!D12+SUBOS!D12+SUAG!D12</f>
        <v>1000000</v>
      </c>
      <c r="E12" s="78">
        <f>SUBR!E12+SULAW!E12+SUNO!E12+SUSBO!E12+SUBOS!E12+SUAG!E12</f>
        <v>-9849</v>
      </c>
      <c r="F12" s="79">
        <f>E12/C12</f>
        <v>-0.00975294326181439</v>
      </c>
    </row>
    <row r="13" spans="1:6" ht="91.5">
      <c r="A13" s="80" t="s">
        <v>66</v>
      </c>
      <c r="B13" s="78">
        <f>SUBR!B13+SULAW!B13+SUNO!B13+SUSBO!B13+SUBOS!B13+SUAG!B13</f>
        <v>0</v>
      </c>
      <c r="C13" s="78">
        <f>SUBR!C13+SULAW!C13+SUNO!C13+SUSBO!C13+SUBOS!C13+SUAG!C13</f>
        <v>0</v>
      </c>
      <c r="D13" s="78">
        <f>SUBR!D13+SULAW!D13+SUNO!D13+SUSBO!D13+SUBOS!D13+SUAG!D13</f>
        <v>0</v>
      </c>
      <c r="E13" s="78">
        <f>SUBR!E13+SULAW!E13+SUNO!E13+SUSBO!E13+SUBOS!E13+SUAG!E13</f>
        <v>0</v>
      </c>
      <c r="F13" s="79">
        <f>IF(ISERROR(E13/C13),0,(E13/C13))</f>
        <v>0</v>
      </c>
    </row>
    <row r="14" spans="1:6" ht="91.5">
      <c r="A14" s="80" t="s">
        <v>67</v>
      </c>
      <c r="B14" s="78">
        <f>SUBR!B14+SULAW!B14+SUNO!B14+SUSBO!B14+SUBOS!B14+SUAG!B14</f>
        <v>50000</v>
      </c>
      <c r="C14" s="78">
        <f>SUBR!C14+SULAW!C14+SUNO!C14+SUSBO!C14+SUBOS!C14+SUAG!C14</f>
        <v>50000</v>
      </c>
      <c r="D14" s="78">
        <f>SUBR!D14+SULAW!D14+SUNO!D14+SUSBO!D14+SUBOS!D14+SUAG!D14</f>
        <v>50000</v>
      </c>
      <c r="E14" s="78">
        <f>SUBR!E14+SULAW!E14+SUNO!E14+SUSBO!E14+SUBOS!E14+SUAG!E14</f>
        <v>0</v>
      </c>
      <c r="F14" s="79">
        <f aca="true" t="shared" si="0" ref="F14:F30">IF(ISERROR(E14/C14),0,(E14/C14))</f>
        <v>0</v>
      </c>
    </row>
    <row r="15" spans="1:6" ht="91.5">
      <c r="A15" s="80" t="s">
        <v>74</v>
      </c>
      <c r="B15" s="78">
        <f>SUBR!B15+SULAW!B15+SUNO!B15+SUSBO!B15+SUBOS!B15+SUAG!B15</f>
        <v>750000</v>
      </c>
      <c r="C15" s="78">
        <f>SUBR!C15+SULAW!C15+SUNO!C15+SUSBO!C15+SUBOS!C15+SUAG!C15</f>
        <v>750000</v>
      </c>
      <c r="D15" s="78">
        <f>SUBR!D15+SULAW!D15+SUNO!D15+SUSBO!D15+SUBOS!D15+SUAG!D15</f>
        <v>750000</v>
      </c>
      <c r="E15" s="78">
        <f>SUBR!E15+SULAW!E15+SUNO!E15+SUSBO!E15+SUBOS!E15+SUAG!E15</f>
        <v>0</v>
      </c>
      <c r="F15" s="79">
        <f t="shared" si="0"/>
        <v>0</v>
      </c>
    </row>
    <row r="16" spans="1:6" ht="91.5">
      <c r="A16" s="80" t="s">
        <v>63</v>
      </c>
      <c r="B16" s="78">
        <f>SUBR!B16+SULAW!B16+SUNO!B16+SUSBO!B16+SUBOS!B16+SUAG!B16</f>
        <v>0</v>
      </c>
      <c r="C16" s="78">
        <f>SUBR!C16+SULAW!C16+SUNO!C16+SUSBO!C16+SUBOS!C16+SUAG!C16</f>
        <v>0</v>
      </c>
      <c r="D16" s="78">
        <f>SUBR!D16+SULAW!D16+SUNO!D16+SUSBO!D16+SUBOS!D16+SUAG!D16</f>
        <v>0</v>
      </c>
      <c r="E16" s="78">
        <f>SUBR!E16+SULAW!E16+SUNO!E16+SUSBO!E16+SUBOS!E16+SUAG!E16</f>
        <v>0</v>
      </c>
      <c r="F16" s="79">
        <f t="shared" si="0"/>
        <v>0</v>
      </c>
    </row>
    <row r="17" spans="1:6" ht="91.5">
      <c r="A17" s="80" t="s">
        <v>64</v>
      </c>
      <c r="B17" s="78">
        <f>SUBR!B17+SULAW!B17+SUNO!B17+SUSBO!B17+SUBOS!B17+SUAG!B17</f>
        <v>0</v>
      </c>
      <c r="C17" s="78">
        <f>SUBR!C17+SULAW!C17+SUNO!C17+SUSBO!C17+SUBOS!C17+SUAG!C17</f>
        <v>0</v>
      </c>
      <c r="D17" s="78">
        <f>SUBR!D17+SULAW!D17+SUNO!D17+SUSBO!D17+SUBOS!D17+SUAG!D17</f>
        <v>0</v>
      </c>
      <c r="E17" s="78">
        <f>SUBR!E17+SULAW!E17+SUNO!E17+SUSBO!E17+SUBOS!E17+SUAG!E17</f>
        <v>0</v>
      </c>
      <c r="F17" s="79">
        <f t="shared" si="0"/>
        <v>0</v>
      </c>
    </row>
    <row r="18" spans="1:6" ht="91.5">
      <c r="A18" s="80" t="s">
        <v>73</v>
      </c>
      <c r="B18" s="78">
        <f>SUBR!B18+SULAW!B18+SUNO!B18+SUSBO!B18+SUBOS!B18+SUAG!B18</f>
        <v>0</v>
      </c>
      <c r="C18" s="78">
        <f>SUBR!C18+SULAW!C18+SUNO!C18+SUSBO!C18+SUBOS!C18+SUAG!C18</f>
        <v>0</v>
      </c>
      <c r="D18" s="78">
        <f>SUBR!D18+SULAW!D18+SUNO!D18+SUSBO!D18+SUBOS!D18+SUAG!D18</f>
        <v>0</v>
      </c>
      <c r="E18" s="78">
        <f>SUBR!E18+SULAW!E18+SUNO!E18+SUSBO!E18+SUBOS!E18+SUAG!E18</f>
        <v>0</v>
      </c>
      <c r="F18" s="79">
        <f t="shared" si="0"/>
        <v>0</v>
      </c>
    </row>
    <row r="19" spans="1:6" ht="91.5">
      <c r="A19" s="80" t="s">
        <v>68</v>
      </c>
      <c r="B19" s="78">
        <f>SUBR!B19+SULAW!B19+SUNO!B19+SUSBO!B19+SUBOS!B19+SUAG!B19</f>
        <v>0</v>
      </c>
      <c r="C19" s="78">
        <f>SUBR!C19+SULAW!C19+SUNO!C19+SUSBO!C19+SUBOS!C19+SUAG!C19</f>
        <v>0</v>
      </c>
      <c r="D19" s="78">
        <f>SUBR!D19+SULAW!D19+SUNO!D19+SUSBO!D19+SUBOS!D19+SUAG!D19</f>
        <v>0</v>
      </c>
      <c r="E19" s="78">
        <f>SUBR!E19+SULAW!E19+SUNO!E19+SUSBO!E19+SUBOS!E19+SUAG!E19</f>
        <v>0</v>
      </c>
      <c r="F19" s="79">
        <f t="shared" si="0"/>
        <v>0</v>
      </c>
    </row>
    <row r="20" spans="1:6" ht="91.5">
      <c r="A20" s="80" t="s">
        <v>69</v>
      </c>
      <c r="B20" s="78">
        <f>SUBR!B20+SULAW!B20+SUNO!B20+SUSBO!B20+SUBOS!B20+SUAG!B20</f>
        <v>0</v>
      </c>
      <c r="C20" s="78">
        <f>SUBR!C20+SULAW!C20+SUNO!C20+SUSBO!C20+SUBOS!C20+SUAG!C20</f>
        <v>0</v>
      </c>
      <c r="D20" s="78">
        <f>SUBR!D20+SULAW!D20+SUNO!D20+SUSBO!D20+SUBOS!D20+SUAG!D20</f>
        <v>0</v>
      </c>
      <c r="E20" s="78">
        <f>SUBR!E20+SULAW!E20+SUNO!E20+SUSBO!E20+SUBOS!E20+SUAG!E20</f>
        <v>0</v>
      </c>
      <c r="F20" s="79">
        <f t="shared" si="0"/>
        <v>0</v>
      </c>
    </row>
    <row r="21" spans="1:6" ht="91.5">
      <c r="A21" s="80" t="s">
        <v>70</v>
      </c>
      <c r="B21" s="78">
        <f>SUBR!B21+SULAW!B21+SUNO!B21+SUSBO!B21+SUBOS!B21+SUAG!B21</f>
        <v>0</v>
      </c>
      <c r="C21" s="78">
        <f>SUBR!C21+SULAW!C21+SUNO!C21+SUSBO!C21+SUBOS!C21+SUAG!C21</f>
        <v>0</v>
      </c>
      <c r="D21" s="78">
        <f>SUBR!D21+SULAW!D21+SUNO!D21+SUSBO!D21+SUBOS!D21+SUAG!D21</f>
        <v>0</v>
      </c>
      <c r="E21" s="78">
        <f>SUBR!E21+SULAW!E21+SUNO!E21+SUSBO!E21+SUBOS!E21+SUAG!E21</f>
        <v>0</v>
      </c>
      <c r="F21" s="79">
        <f t="shared" si="0"/>
        <v>0</v>
      </c>
    </row>
    <row r="22" spans="1:6" ht="91.5">
      <c r="A22" s="81" t="s">
        <v>71</v>
      </c>
      <c r="B22" s="78">
        <f>SUBR!B22+SULAW!B22+SUNO!B22+SUSBO!B22+SUBOS!B22+SUAG!B22</f>
        <v>0</v>
      </c>
      <c r="C22" s="78">
        <f>SUBR!C22+SULAW!C22+SUNO!C22+SUSBO!C22+SUBOS!C22+SUAG!C22</f>
        <v>0</v>
      </c>
      <c r="D22" s="78">
        <f>SUBR!D22+SULAW!D22+SUNO!D22+SUSBO!D22+SUBOS!D22+SUAG!D22</f>
        <v>0</v>
      </c>
      <c r="E22" s="78">
        <f>SUBR!E22+SULAW!E22+SUNO!E22+SUSBO!E22+SUBOS!E22+SUAG!E22</f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f>SUBR!B24+SULAW!B24+SUNO!B24+SUSBO!B24+SUBOS!B24+SUAG!B24</f>
        <v>0</v>
      </c>
      <c r="C24" s="78">
        <f>SUBR!C24+SULAW!C24+SUNO!C24+SUSBO!C24+SUBOS!C24+SUAG!C24</f>
        <v>0</v>
      </c>
      <c r="D24" s="78">
        <f>SUBR!D24+SULAW!D24+SUNO!D24+SUSBO!D24+SUBOS!D24+SUAG!D24</f>
        <v>0</v>
      </c>
      <c r="E24" s="78">
        <f>SUBR!E24+SULAW!E24+SUNO!E24+SUSBO!E24+SUBOS!E24+SUAG!E24</f>
        <v>0</v>
      </c>
      <c r="F24" s="79">
        <f t="shared" si="0"/>
        <v>0</v>
      </c>
    </row>
    <row r="25" spans="1:6" ht="91.5">
      <c r="A25" s="77" t="s">
        <v>53</v>
      </c>
      <c r="B25" s="78">
        <f>SUBR!B25+SULAW!B25+SUNO!B25+SUSBO!B25+SUBOS!B25+SUAG!B25</f>
        <v>0</v>
      </c>
      <c r="C25" s="78">
        <f>SUBR!C25+SULAW!C25+SUNO!C25+SUSBO!C25+SUBOS!C25+SUAG!C25</f>
        <v>0</v>
      </c>
      <c r="D25" s="78">
        <f>SUBR!D25+SULAW!D25+SUNO!D25+SUSBO!D25+SUBOS!D25+SUAG!D25</f>
        <v>0</v>
      </c>
      <c r="E25" s="78">
        <f>SUBR!E25+SULAW!E25+SUNO!E25+SUSBO!E25+SUBOS!E25+SUAG!E25</f>
        <v>0</v>
      </c>
      <c r="F25" s="79">
        <f t="shared" si="0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0"/>
        <v>0</v>
      </c>
    </row>
    <row r="27" spans="1:6" ht="91.5">
      <c r="A27" s="77" t="s">
        <v>51</v>
      </c>
      <c r="B27" s="78">
        <f>SUBR!B27+SULAW!B27+SUNO!B27+SUSBO!B27+SUBOS!B27+SUAG!B27</f>
        <v>0</v>
      </c>
      <c r="C27" s="78">
        <f>SUBR!C27+SULAW!C27+SUNO!C27+SUSBO!C27+SUBOS!C27+SUAG!C27</f>
        <v>0</v>
      </c>
      <c r="D27" s="78">
        <f>SUBR!D27+SULAW!D27+SUNO!D27+SUSBO!D27+SUBOS!D27+SUAG!D27</f>
        <v>0</v>
      </c>
      <c r="E27" s="78">
        <f>SUBR!E27+SULAW!E27+SUNO!E27+SUSBO!E27+SUBOS!E27+SUAG!E27</f>
        <v>0</v>
      </c>
      <c r="F27" s="79">
        <f t="shared" si="0"/>
        <v>0</v>
      </c>
    </row>
    <row r="28" spans="1:6" ht="91.5">
      <c r="A28" s="80" t="s">
        <v>53</v>
      </c>
      <c r="B28" s="78">
        <f>SUBR!B28+SULAW!B28+SUNO!B28+SUSBO!B28+SUBOS!B28+SUAG!B28</f>
        <v>0</v>
      </c>
      <c r="C28" s="78">
        <f>SUBR!C28+SULAW!C28+SUNO!C28+SUSBO!C28+SUBOS!C28+SUAG!C28</f>
        <v>0</v>
      </c>
      <c r="D28" s="78">
        <f>SUBR!D28+SULAW!D28+SUNO!D28+SUSBO!D28+SUBOS!D28+SUAG!D28</f>
        <v>0</v>
      </c>
      <c r="E28" s="78">
        <f>SUBR!E28+SULAW!E28+SUNO!E28+SUSBO!E28+SUBOS!E28+SUAG!E28</f>
        <v>0</v>
      </c>
      <c r="F28" s="79">
        <f t="shared" si="0"/>
        <v>0</v>
      </c>
    </row>
    <row r="29" spans="1:6" ht="91.5">
      <c r="A29" s="80" t="s">
        <v>54</v>
      </c>
      <c r="B29" s="78">
        <f>SUBR!B29+SULAW!B29+SUNO!B29+SUSBO!B29+SUBOS!B29+SUAG!B29</f>
        <v>0</v>
      </c>
      <c r="C29" s="78">
        <f>SUBR!C29+SULAW!C29+SUNO!C29+SUSBO!C29+SUBOS!C29+SUAG!C29</f>
        <v>0</v>
      </c>
      <c r="D29" s="78">
        <f>SUBR!D29+SULAW!D29+SUNO!D29+SUSBO!D29+SUBOS!D29+SUAG!D29</f>
        <v>0</v>
      </c>
      <c r="E29" s="78">
        <f>SUBR!E29+SULAW!E29+SUNO!E29+SUSBO!E29+SUBOS!E29+SUAG!E29</f>
        <v>0</v>
      </c>
      <c r="F29" s="79">
        <f t="shared" si="0"/>
        <v>0</v>
      </c>
    </row>
    <row r="30" spans="1:6" ht="91.5">
      <c r="A30" s="76" t="s">
        <v>14</v>
      </c>
      <c r="B30" s="85">
        <f>B29+B28+B27+B25+B24+B9+B8</f>
        <v>88502063</v>
      </c>
      <c r="C30" s="86">
        <f>C29+C28+C27+C25+C24+C9+C8</f>
        <v>88502063</v>
      </c>
      <c r="D30" s="86">
        <f>D29+D28+D27+D25+D24+D9+D8</f>
        <v>97684874</v>
      </c>
      <c r="E30" s="86">
        <f>E29+E28+E27+E25+E24+E9+E8</f>
        <v>9182811</v>
      </c>
      <c r="F30" s="87">
        <f t="shared" si="0"/>
        <v>0.10375815759232641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f>SUBR!B32+SULAW!B32+SUNO!B32+SUSBO!B32+SUBOS!B32+SUAG!B32</f>
        <v>-41458</v>
      </c>
      <c r="C32" s="74">
        <f>SUBR!C32+SULAW!C32+SUNO!C32+SUSBO!C32+SUBOS!C32+SUAG!C32</f>
        <v>0</v>
      </c>
      <c r="D32" s="74">
        <f>SUBR!D32+SULAW!D32+SUNO!D32+SUSBO!D32+SUBOS!D32+SUAG!D32</f>
        <v>0</v>
      </c>
      <c r="E32" s="74">
        <f>SUBR!E32+SULAW!E32+SUNO!E32+SUSBO!E32+SUBOS!E32+SUAG!E32</f>
        <v>0</v>
      </c>
      <c r="F32" s="75">
        <f aca="true" t="shared" si="1" ref="F32:F40">IF(ISERROR(E32/C32),0,(E32/C32))</f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f>SUBR!B34+SULAW!B34+SUNO!B34+SUSBO!B34+SUBOS!B34+SUAG!B34</f>
        <v>2410606</v>
      </c>
      <c r="C34" s="74">
        <f>SUBR!C34+SULAW!C34+SUNO!C34+SUSBO!C34+SUBOS!C34+SUAG!C34</f>
        <v>2415207</v>
      </c>
      <c r="D34" s="74">
        <f>SUBR!D34+SULAW!D34+SUNO!D34+SUSBO!D34+SUBOS!D34+SUAG!D34</f>
        <v>2138476</v>
      </c>
      <c r="E34" s="74">
        <f>SUBR!E34+SULAW!E34+SUNO!E34+SUSBO!E34+SUBOS!E34+SUAG!E34</f>
        <v>-276731</v>
      </c>
      <c r="F34" s="75">
        <f t="shared" si="1"/>
        <v>-0.11457858477554926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f>SUBR!B36+SULAW!B36+SUNO!B36+SUSBO!B36+SUBOS!B36+SUAG!B36</f>
        <v>48374907</v>
      </c>
      <c r="C36" s="74">
        <f>SUBR!C36+SULAW!C36+SUNO!C36+SUSBO!C36+SUBOS!C36+SUAG!C36</f>
        <v>49297996</v>
      </c>
      <c r="D36" s="74">
        <f>SUBR!D36+SULAW!D36+SUNO!D36+SUSBO!D36+SUBOS!D36+SUAG!D36</f>
        <v>49581111</v>
      </c>
      <c r="E36" s="74">
        <f>SUBR!E36+SULAW!E36+SUNO!E36+SUSBO!E36+SUBOS!E36+SUAG!E36</f>
        <v>283115</v>
      </c>
      <c r="F36" s="75">
        <f t="shared" si="1"/>
        <v>0.005742931213674487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f>SUBR!B38+SULAW!B38+SUNO!B38+SUSBO!B38+SUBOS!B38+SUAG!B38</f>
        <v>2633034</v>
      </c>
      <c r="C38" s="74">
        <f>SUBR!C38+SULAW!C38+SUNO!C38+SUSBO!C38+SUBOS!C38+SUAG!C38</f>
        <v>2856090</v>
      </c>
      <c r="D38" s="74">
        <f>SUBR!D38+SULAW!D38+SUNO!D38+SUSBO!D38+SUBOS!D38+SUAG!D38</f>
        <v>3036211</v>
      </c>
      <c r="E38" s="74">
        <f>SUBR!E38+SULAW!E38+SUNO!E38+SUSBO!E38+SUBOS!E38+SUAG!E38</f>
        <v>180121</v>
      </c>
      <c r="F38" s="75">
        <f t="shared" si="1"/>
        <v>0.06306558966979332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25" t="s">
        <v>17</v>
      </c>
      <c r="B40" s="74">
        <f>SUBR!B40+SULAW!B40+SUNO!B40+SUSBO!B40+SUBOS!B40+SUAG!B40</f>
        <v>141879152</v>
      </c>
      <c r="C40" s="74">
        <f>SUBR!C40+SULAW!C40+SUNO!C40+SUSBO!C40+SUBOS!C40+SUAG!C40</f>
        <v>143071356</v>
      </c>
      <c r="D40" s="74">
        <f>SUBR!D40+SULAW!D40+SUNO!D40+SUSBO!D40+SUBOS!D40+SUAG!D40</f>
        <v>152440672</v>
      </c>
      <c r="E40" s="74">
        <f>SUBR!E40+SULAW!E40+SUNO!E40+SUSBO!E40+SUBOS!E40+SUAG!E40</f>
        <v>9369316</v>
      </c>
      <c r="F40" s="101">
        <f t="shared" si="1"/>
        <v>0.06548701474528557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f>SUBR!B42+SULAW!B42+SUNO!B42+SUSBO!B42+SUBOS!B42+SUAG!B42</f>
        <v>53300813</v>
      </c>
      <c r="C42" s="78">
        <f>SUBR!C42+SULAW!C42+SUNO!C42+SUSBO!C42+SUBOS!C42+SUAG!C42</f>
        <v>57631958</v>
      </c>
      <c r="D42" s="78">
        <f>SUBR!D42+SULAW!D42+SUNO!D42+SUSBO!D42+SUBOS!D42+SUAG!D42</f>
        <v>62296969</v>
      </c>
      <c r="E42" s="78">
        <f>SUBR!E42+SULAW!E42+SUNO!E42+SUSBO!E42+SUBOS!E42+SUAG!E42</f>
        <v>4665011</v>
      </c>
      <c r="F42" s="92">
        <f aca="true" t="shared" si="2" ref="F42:F55">IF(ISERROR(E42/C42),0,(E42/C42))</f>
        <v>0.08094486395898609</v>
      </c>
    </row>
    <row r="43" spans="1:6" ht="91.5">
      <c r="A43" s="80" t="s">
        <v>20</v>
      </c>
      <c r="B43" s="78">
        <f>SUBR!B43+SULAW!B43+SUNO!B43+SUSBO!B43+SUBOS!B43+SUAG!B43</f>
        <v>3295836</v>
      </c>
      <c r="C43" s="78">
        <f>SUBR!C43+SULAW!C43+SUNO!C43+SUSBO!C43+SUBOS!C43+SUAG!C43</f>
        <v>3258891</v>
      </c>
      <c r="D43" s="78">
        <f>SUBR!D43+SULAW!D43+SUNO!D43+SUSBO!D43+SUBOS!D43+SUAG!D43</f>
        <v>3494565</v>
      </c>
      <c r="E43" s="78">
        <f>SUBR!E43+SULAW!E43+SUNO!E43+SUSBO!E43+SUBOS!E43+SUAG!E43</f>
        <v>235674</v>
      </c>
      <c r="F43" s="90">
        <f t="shared" si="2"/>
        <v>0.07231723920806188</v>
      </c>
    </row>
    <row r="44" spans="1:6" ht="91.5">
      <c r="A44" s="80" t="s">
        <v>21</v>
      </c>
      <c r="B44" s="78">
        <f>SUBR!B44+SULAW!B44+SUNO!B44+SUSBO!B44+SUBOS!B44+SUAG!B44</f>
        <v>4491584</v>
      </c>
      <c r="C44" s="78">
        <f>SUBR!C44+SULAW!C44+SUNO!C44+SUSBO!C44+SUBOS!C44+SUAG!C44</f>
        <v>5571036</v>
      </c>
      <c r="D44" s="78">
        <f>SUBR!D44+SULAW!D44+SUNO!D44+SUSBO!D44+SUBOS!D44+SUAG!D44</f>
        <v>5833730</v>
      </c>
      <c r="E44" s="78">
        <f>SUBR!E44+SULAW!E44+SUNO!E44+SUSBO!E44+SUBOS!E44+SUAG!E44</f>
        <v>262694</v>
      </c>
      <c r="F44" s="90">
        <f t="shared" si="2"/>
        <v>0.047153527638306415</v>
      </c>
    </row>
    <row r="45" spans="1:6" ht="91.5">
      <c r="A45" s="80" t="s">
        <v>49</v>
      </c>
      <c r="B45" s="78">
        <f>SUBR!B45+SULAW!B45+SUNO!B45+SUSBO!B45+SUBOS!B45+SUAG!B45</f>
        <v>14222889</v>
      </c>
      <c r="C45" s="78">
        <f>SUBR!C45+SULAW!C45+SUNO!C45+SUSBO!C45+SUBOS!C45+SUAG!C45</f>
        <v>14421093</v>
      </c>
      <c r="D45" s="78">
        <f>SUBR!D45+SULAW!D45+SUNO!D45+SUSBO!D45+SUBOS!D45+SUAG!D45</f>
        <v>16543496</v>
      </c>
      <c r="E45" s="78">
        <f>SUBR!E45+SULAW!E45+SUNO!E45+SUSBO!E45+SUBOS!E45+SUAG!E45</f>
        <v>2122403</v>
      </c>
      <c r="F45" s="90">
        <f t="shared" si="2"/>
        <v>0.14717351867850792</v>
      </c>
    </row>
    <row r="46" spans="1:6" ht="91.5">
      <c r="A46" s="80" t="s">
        <v>22</v>
      </c>
      <c r="B46" s="78">
        <f>SUBR!B46+SULAW!B46+SUNO!B46+SUSBO!B46+SUBOS!B46+SUAG!B46</f>
        <v>6492749</v>
      </c>
      <c r="C46" s="78">
        <f>SUBR!C46+SULAW!C46+SUNO!C46+SUSBO!C46+SUBOS!C46+SUAG!C46</f>
        <v>6931784</v>
      </c>
      <c r="D46" s="78">
        <f>SUBR!D46+SULAW!D46+SUNO!D46+SUSBO!D46+SUBOS!D46+SUAG!D46</f>
        <v>7508575</v>
      </c>
      <c r="E46" s="78">
        <f>SUBR!E46+SULAW!E46+SUNO!E46+SUSBO!E46+SUBOS!E46+SUAG!E46</f>
        <v>576791</v>
      </c>
      <c r="F46" s="90">
        <f t="shared" si="2"/>
        <v>0.08320960376145592</v>
      </c>
    </row>
    <row r="47" spans="1:6" ht="91.5">
      <c r="A47" s="80" t="s">
        <v>23</v>
      </c>
      <c r="B47" s="78">
        <f>SUBR!B47+SULAW!B47+SUNO!B47+SUSBO!B47+SUBOS!B47+SUAG!B47</f>
        <v>30489999</v>
      </c>
      <c r="C47" s="78">
        <f>SUBR!C47+SULAW!C47+SUNO!C47+SUSBO!C47+SUBOS!C47+SUAG!C47</f>
        <v>28587904</v>
      </c>
      <c r="D47" s="78">
        <f>SUBR!D47+SULAW!D47+SUNO!D47+SUSBO!D47+SUBOS!D47+SUAG!D47</f>
        <v>31667961</v>
      </c>
      <c r="E47" s="78">
        <f>SUBR!E47+SULAW!E47+SUNO!E47+SUSBO!E47+SUBOS!E47+SUAG!E47</f>
        <v>3080057</v>
      </c>
      <c r="F47" s="90">
        <f t="shared" si="2"/>
        <v>0.10773986788258419</v>
      </c>
    </row>
    <row r="48" spans="1:6" ht="91.5">
      <c r="A48" s="80" t="s">
        <v>24</v>
      </c>
      <c r="B48" s="78">
        <f>SUBR!B48+SULAW!B48+SUNO!B48+SUSBO!B48+SUBOS!B48+SUAG!B48</f>
        <v>4517760</v>
      </c>
      <c r="C48" s="78">
        <f>SUBR!C48+SULAW!C48+SUNO!C48+SUSBO!C48+SUBOS!C48+SUAG!C48</f>
        <v>4004850</v>
      </c>
      <c r="D48" s="78">
        <f>SUBR!D48+SULAW!D48+SUNO!D48+SUSBO!D48+SUBOS!D48+SUAG!D48</f>
        <v>4617850</v>
      </c>
      <c r="E48" s="78">
        <f>SUBR!E48+SULAW!E48+SUNO!E48+SUSBO!E48+SUBOS!E48+SUAG!E48</f>
        <v>613000</v>
      </c>
      <c r="F48" s="90">
        <f t="shared" si="2"/>
        <v>0.15306440940359814</v>
      </c>
    </row>
    <row r="49" spans="1:6" ht="91.5">
      <c r="A49" s="80" t="s">
        <v>25</v>
      </c>
      <c r="B49" s="78">
        <f>SUBR!B49+SULAW!B49+SUNO!B49+SUSBO!B49+SUBOS!B49+SUAG!B49</f>
        <v>18387117</v>
      </c>
      <c r="C49" s="78">
        <f>SUBR!C49+SULAW!C49+SUNO!C49+SUSBO!C49+SUBOS!C49+SUAG!C49</f>
        <v>18137928</v>
      </c>
      <c r="D49" s="78">
        <f>SUBR!D49+SULAW!D49+SUNO!D49+SUSBO!D49+SUBOS!D49+SUAG!D49</f>
        <v>17633000</v>
      </c>
      <c r="E49" s="78">
        <f>SUBR!E49+SULAW!E49+SUNO!E49+SUSBO!E49+SUBOS!E49+SUAG!E49</f>
        <v>-504928</v>
      </c>
      <c r="F49" s="90">
        <f t="shared" si="2"/>
        <v>-0.02783824039879307</v>
      </c>
    </row>
    <row r="50" spans="1:6" ht="91.5">
      <c r="A50" s="93" t="s">
        <v>26</v>
      </c>
      <c r="B50" s="83">
        <f>SUM(B42:B49)</f>
        <v>135198747</v>
      </c>
      <c r="C50" s="83">
        <f>SUM(C42:C49)</f>
        <v>138545444</v>
      </c>
      <c r="D50" s="83">
        <f>SUM(D42:D49)</f>
        <v>149596146</v>
      </c>
      <c r="E50" s="83">
        <f>SUM(E42:E49)</f>
        <v>11050702</v>
      </c>
      <c r="F50" s="87">
        <f t="shared" si="2"/>
        <v>0.07976229084804838</v>
      </c>
    </row>
    <row r="51" spans="1:6" ht="91.5">
      <c r="A51" s="80" t="s">
        <v>27</v>
      </c>
      <c r="B51" s="78">
        <f>SUBR!B51+SULAW!B51+SUNO!B51+SUSBO!B51+SUBOS!B51+SUAG!B51</f>
        <v>0</v>
      </c>
      <c r="C51" s="78">
        <f>SUBR!C51+SULAW!C51+SUNO!C51+SUSBO!C51+SUBOS!C51+SUAG!C51</f>
        <v>0</v>
      </c>
      <c r="D51" s="78">
        <f>SUBR!D51+SULAW!D51+SUNO!D51+SUSBO!D51+SUBOS!D51+SUAG!D51</f>
        <v>0</v>
      </c>
      <c r="E51" s="78">
        <f>SUBR!E51+SULAW!E51+SUNO!E51+SUSBO!E51+SUBOS!E51+SUAG!E51</f>
        <v>0</v>
      </c>
      <c r="F51" s="90">
        <f t="shared" si="2"/>
        <v>0</v>
      </c>
    </row>
    <row r="52" spans="1:6" ht="91.5">
      <c r="A52" s="80" t="s">
        <v>28</v>
      </c>
      <c r="B52" s="78">
        <f>SUBR!B52+SULAW!B52+SUNO!B52+SUSBO!B52+SUBOS!B52+SUAG!B52</f>
        <v>3711555</v>
      </c>
      <c r="C52" s="78">
        <f>SUBR!C52+SULAW!C52+SUNO!C52+SUSBO!C52+SUBOS!C52+SUAG!C52</f>
        <v>2820183</v>
      </c>
      <c r="D52" s="78">
        <f>SUBR!D52+SULAW!D52+SUNO!D52+SUSBO!D52+SUBOS!D52+SUAG!D52</f>
        <v>2002682</v>
      </c>
      <c r="E52" s="78">
        <f>SUBR!E52+SULAW!E52+SUNO!E52+SUSBO!E52+SUBOS!E52+SUAG!E52</f>
        <v>-817501</v>
      </c>
      <c r="F52" s="90">
        <f t="shared" si="2"/>
        <v>-0.2898751605835508</v>
      </c>
    </row>
    <row r="53" spans="1:6" ht="91.5">
      <c r="A53" s="80" t="s">
        <v>29</v>
      </c>
      <c r="B53" s="78">
        <f>SUBR!B53+SULAW!B53+SUNO!B53+SUSBO!B53+SUBOS!B53+SUAG!B53</f>
        <v>615901</v>
      </c>
      <c r="C53" s="78">
        <f>SUBR!C53+SULAW!C53+SUNO!C53+SUSBO!C53+SUBOS!C53+SUAG!C53</f>
        <v>852780</v>
      </c>
      <c r="D53" s="78">
        <f>SUBR!D53+SULAW!D53+SUNO!D53+SUSBO!D53+SUBOS!D53+SUAG!D53</f>
        <v>841844</v>
      </c>
      <c r="E53" s="78">
        <f>SUBR!E53+SULAW!E53+SUNO!E53+SUSBO!E53+SUBOS!E53+SUAG!E53</f>
        <v>-10936</v>
      </c>
      <c r="F53" s="90">
        <f t="shared" si="2"/>
        <v>-0.012823940523933488</v>
      </c>
    </row>
    <row r="54" spans="1:6" ht="91.5">
      <c r="A54" s="80" t="s">
        <v>30</v>
      </c>
      <c r="B54" s="78">
        <f>SUBR!B54+SULAW!B54+SUNO!B54+SUSBO!B54+SUBOS!B54+SUAG!B54</f>
        <v>2352949</v>
      </c>
      <c r="C54" s="78">
        <f>SUBR!C54+SULAW!C54+SUNO!C54+SUSBO!C54+SUBOS!C54+SUAG!C54</f>
        <v>852949</v>
      </c>
      <c r="D54" s="78">
        <f>SUBR!D54+SULAW!D54+SUNO!D54+SUSBO!D54+SUBOS!D54+SUAG!D54</f>
        <v>0</v>
      </c>
      <c r="E54" s="78">
        <f>SUBR!E54+SULAW!E54+SUNO!E54+SUSBO!E54+SUBOS!E54+SUAG!E54</f>
        <v>-852949</v>
      </c>
      <c r="F54" s="90">
        <f t="shared" si="2"/>
        <v>-1</v>
      </c>
    </row>
    <row r="55" spans="1:6" ht="91.5">
      <c r="A55" s="94" t="s">
        <v>31</v>
      </c>
      <c r="B55" s="85">
        <f>B54+B53+B52+B51+B50</f>
        <v>141879152</v>
      </c>
      <c r="C55" s="85">
        <f>C54+C53+C52+C51+C50</f>
        <v>143071356</v>
      </c>
      <c r="D55" s="85">
        <f>D54+D53+D52+D51+D50</f>
        <v>152440672</v>
      </c>
      <c r="E55" s="85">
        <f>D55-C55</f>
        <v>9369316</v>
      </c>
      <c r="F55" s="95">
        <f t="shared" si="2"/>
        <v>0.06548701474528557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f>SUBR!B57+SULAW!B57+SUNO!B57+SUSBO!B57+SUBOS!B57+SUAG!B57</f>
        <v>75447171</v>
      </c>
      <c r="C57" s="78">
        <f>SUBR!C57+SULAW!C57+SUNO!C57+SUSBO!C57+SUBOS!C57+SUAG!C57</f>
        <v>79296098</v>
      </c>
      <c r="D57" s="78">
        <f>SUBR!D57+SULAW!D57+SUNO!D57+SUSBO!D57+SUBOS!D57+SUAG!D57</f>
        <v>85302995</v>
      </c>
      <c r="E57" s="78">
        <f>SUBR!E57+SULAW!E57+SUNO!E57+SUSBO!E57+SUBOS!E57+SUAG!E57</f>
        <v>6006897</v>
      </c>
      <c r="F57" s="92">
        <f aca="true" t="shared" si="3" ref="F57:F74">IF(ISERROR(E57/C57),0,(E57/C57))</f>
        <v>0.07575274384875785</v>
      </c>
    </row>
    <row r="58" spans="1:6" ht="91.5">
      <c r="A58" s="80" t="s">
        <v>34</v>
      </c>
      <c r="B58" s="78">
        <f>SUBR!B58+SULAW!B58+SUNO!B58+SUSBO!B58+SUBOS!B58+SUAG!B58</f>
        <v>507326</v>
      </c>
      <c r="C58" s="78">
        <f>SUBR!C58+SULAW!C58+SUNO!C58+SUSBO!C58+SUBOS!C58+SUAG!C58</f>
        <v>478877</v>
      </c>
      <c r="D58" s="78">
        <f>SUBR!D58+SULAW!D58+SUNO!D58+SUSBO!D58+SUBOS!D58+SUAG!D58</f>
        <v>399300</v>
      </c>
      <c r="E58" s="78">
        <f>SUBR!E58+SULAW!E58+SUNO!E58+SUSBO!E58+SUBOS!E58+SUAG!E58</f>
        <v>-79577</v>
      </c>
      <c r="F58" s="90">
        <f t="shared" si="3"/>
        <v>-0.16617419504382128</v>
      </c>
    </row>
    <row r="59" spans="1:6" ht="91.5">
      <c r="A59" s="80" t="s">
        <v>35</v>
      </c>
      <c r="B59" s="78">
        <f>SUBR!B59+SULAW!B59+SUNO!B59+SUSBO!B59+SUBOS!B59+SUAG!B59</f>
        <v>21869629</v>
      </c>
      <c r="C59" s="78">
        <f>SUBR!C59+SULAW!C59+SUNO!C59+SUSBO!C59+SUBOS!C59+SUAG!C59</f>
        <v>22859147</v>
      </c>
      <c r="D59" s="78">
        <f>SUBR!D59+SULAW!D59+SUNO!D59+SUSBO!D59+SUBOS!D59+SUAG!D59</f>
        <v>27370290</v>
      </c>
      <c r="E59" s="78">
        <f>SUBR!E59+SULAW!E59+SUNO!E59+SUSBO!E59+SUBOS!E59+SUAG!E59</f>
        <v>4511143</v>
      </c>
      <c r="F59" s="90">
        <f t="shared" si="3"/>
        <v>0.19734520277593912</v>
      </c>
    </row>
    <row r="60" spans="1:6" ht="91.5">
      <c r="A60" s="93" t="s">
        <v>36</v>
      </c>
      <c r="B60" s="96">
        <f>SUM(B57:B59)</f>
        <v>97824126</v>
      </c>
      <c r="C60" s="96">
        <f>SUM(C57:C59)</f>
        <v>102634122</v>
      </c>
      <c r="D60" s="96">
        <f>SUM(D57:D59)</f>
        <v>113072585</v>
      </c>
      <c r="E60" s="96">
        <f>SUM(E57:E59)</f>
        <v>10438463</v>
      </c>
      <c r="F60" s="97">
        <f t="shared" si="3"/>
        <v>0.10170558091781601</v>
      </c>
    </row>
    <row r="61" spans="1:6" ht="91.5">
      <c r="A61" s="80" t="s">
        <v>37</v>
      </c>
      <c r="B61" s="78">
        <f>SUBR!B61+SULAW!B61+SUNO!B61+SUSBO!B61+SUBOS!B61+SUAG!B61</f>
        <v>913406</v>
      </c>
      <c r="C61" s="78">
        <f>SUBR!C61+SULAW!C61+SUNO!C61+SUSBO!C61+SUBOS!C61+SUAG!C61</f>
        <v>1142807</v>
      </c>
      <c r="D61" s="78">
        <f>SUBR!D61+SULAW!D61+SUNO!D61+SUSBO!D61+SUBOS!D61+SUAG!D61</f>
        <v>1194078</v>
      </c>
      <c r="E61" s="78">
        <f>SUBR!E61+SULAW!E61+SUNO!E61+SUSBO!E61+SUBOS!E61+SUAG!E61</f>
        <v>51271</v>
      </c>
      <c r="F61" s="90">
        <f t="shared" si="3"/>
        <v>0.04486409341209845</v>
      </c>
    </row>
    <row r="62" spans="1:6" ht="91.5">
      <c r="A62" s="80" t="s">
        <v>38</v>
      </c>
      <c r="B62" s="78">
        <f>SUBR!B62+SULAW!B62+SUNO!B62+SUSBO!B62+SUBOS!B62+SUAG!B62</f>
        <v>17837738</v>
      </c>
      <c r="C62" s="78">
        <f>SUBR!C62+SULAW!C62+SUNO!C62+SUSBO!C62+SUBOS!C62+SUAG!C62</f>
        <v>15635048</v>
      </c>
      <c r="D62" s="78">
        <f>SUBR!D62+SULAW!D62+SUNO!D62+SUSBO!D62+SUBOS!D62+SUAG!D62</f>
        <v>16115092</v>
      </c>
      <c r="E62" s="78">
        <f>SUBR!E62+SULAW!E62+SUNO!E62+SUSBO!E62+SUBOS!E62+SUAG!E62</f>
        <v>480044</v>
      </c>
      <c r="F62" s="90">
        <f t="shared" si="3"/>
        <v>0.030703071714266564</v>
      </c>
    </row>
    <row r="63" spans="1:6" ht="91.5">
      <c r="A63" s="80" t="s">
        <v>39</v>
      </c>
      <c r="B63" s="78">
        <f>SUBR!B63+SULAW!B63+SUNO!B63+SUSBO!B63+SUBOS!B63+SUAG!B63</f>
        <v>1892286</v>
      </c>
      <c r="C63" s="78">
        <f>SUBR!C63+SULAW!C63+SUNO!C63+SUSBO!C63+SUBOS!C63+SUAG!C63</f>
        <v>1619397</v>
      </c>
      <c r="D63" s="78">
        <f>SUBR!D63+SULAW!D63+SUNO!D63+SUSBO!D63+SUBOS!D63+SUAG!D63</f>
        <v>1664699</v>
      </c>
      <c r="E63" s="78">
        <f>SUBR!E63+SULAW!E63+SUNO!E63+SUSBO!E63+SUBOS!E63+SUAG!E63</f>
        <v>45302</v>
      </c>
      <c r="F63" s="90">
        <f t="shared" si="3"/>
        <v>0.027974610302476787</v>
      </c>
    </row>
    <row r="64" spans="1:6" ht="91.5">
      <c r="A64" s="76" t="s">
        <v>40</v>
      </c>
      <c r="B64" s="83">
        <f>SUM(B61:B63)</f>
        <v>20643430</v>
      </c>
      <c r="C64" s="83">
        <f>SUM(C61:C63)</f>
        <v>18397252</v>
      </c>
      <c r="D64" s="83">
        <f>SUM(D61:D63)</f>
        <v>18973869</v>
      </c>
      <c r="E64" s="83">
        <f>SUM(E61:E63)</f>
        <v>576617</v>
      </c>
      <c r="F64" s="87">
        <f t="shared" si="3"/>
        <v>0.03134256137818844</v>
      </c>
    </row>
    <row r="65" spans="1:6" ht="91.5">
      <c r="A65" s="80" t="s">
        <v>41</v>
      </c>
      <c r="B65" s="78">
        <f>SUBR!B65+SULAW!B65+SUNO!B65+SUSBO!B65+SUBOS!B65+SUAG!B65</f>
        <v>705581</v>
      </c>
      <c r="C65" s="78">
        <f>SUBR!C65+SULAW!C65+SUNO!C65+SUSBO!C65+SUBOS!C65+SUAG!C65</f>
        <v>1005914</v>
      </c>
      <c r="D65" s="78">
        <f>SUBR!D65+SULAW!D65+SUNO!D65+SUSBO!D65+SUBOS!D65+SUAG!D65</f>
        <v>1043536</v>
      </c>
      <c r="E65" s="78">
        <f>SUBR!E65+SULAW!E65+SUNO!E65+SUSBO!E65+SUBOS!E65+SUAG!E65</f>
        <v>37622</v>
      </c>
      <c r="F65" s="90">
        <f t="shared" si="3"/>
        <v>0.03740081160019644</v>
      </c>
    </row>
    <row r="66" spans="1:6" ht="91.5">
      <c r="A66" s="80" t="s">
        <v>42</v>
      </c>
      <c r="B66" s="78">
        <f>SUBR!B66+SULAW!B66+SUNO!B66+SUSBO!B66+SUBOS!B66+SUAG!B66</f>
        <v>19411177</v>
      </c>
      <c r="C66" s="78">
        <f>SUBR!C66+SULAW!C66+SUNO!C66+SUSBO!C66+SUBOS!C66+SUAG!C66</f>
        <v>15812021</v>
      </c>
      <c r="D66" s="78">
        <f>SUBR!D66+SULAW!D66+SUNO!D66+SUSBO!D66+SUBOS!D66+SUAG!D66</f>
        <v>17310122</v>
      </c>
      <c r="E66" s="78">
        <f>SUBR!E66+SULAW!E66+SUNO!E66+SUSBO!E66+SUBOS!E66+SUAG!E66</f>
        <v>1498101</v>
      </c>
      <c r="F66" s="90">
        <f t="shared" si="3"/>
        <v>0.09474443526226027</v>
      </c>
    </row>
    <row r="67" spans="1:6" ht="91.5">
      <c r="A67" s="80" t="s">
        <v>43</v>
      </c>
      <c r="B67" s="78">
        <f>SUBR!B67+SULAW!B67+SUNO!B67+SUSBO!B67+SUBOS!B67+SUAG!B67</f>
        <v>0</v>
      </c>
      <c r="C67" s="78">
        <f>SUBR!C67+SULAW!C67+SUNO!C67+SUSBO!C67+SUBOS!C67+SUAG!C67</f>
        <v>0</v>
      </c>
      <c r="D67" s="78">
        <f>SUBR!D67+SULAW!D67+SUNO!D67+SUSBO!D67+SUBOS!D67+SUAG!D67</f>
        <v>0</v>
      </c>
      <c r="E67" s="78">
        <f>SUBR!E67+SULAW!E67+SUNO!E67+SUSBO!E67+SUBOS!E67+SUAG!E67</f>
        <v>0</v>
      </c>
      <c r="F67" s="90">
        <f t="shared" si="3"/>
        <v>0</v>
      </c>
    </row>
    <row r="68" spans="1:6" ht="91.5">
      <c r="A68" s="80" t="s">
        <v>44</v>
      </c>
      <c r="B68" s="78">
        <f>SUBR!B68+SULAW!B68+SUNO!B68+SUSBO!B68+SUBOS!B68+SUAG!B68</f>
        <v>1401877</v>
      </c>
      <c r="C68" s="78">
        <f>SUBR!C68+SULAW!C68+SUNO!C68+SUSBO!C68+SUBOS!C68+SUAG!C68</f>
        <v>2848056</v>
      </c>
      <c r="D68" s="78">
        <f>SUBR!D68+SULAW!D68+SUNO!D68+SUSBO!D68+SUBOS!D68+SUAG!D68</f>
        <v>208464</v>
      </c>
      <c r="E68" s="78">
        <f>SUBR!E68+SULAW!E68+SUNO!E68+SUSBO!E68+SUBOS!E68+SUAG!E68</f>
        <v>-2639592</v>
      </c>
      <c r="F68" s="90">
        <f t="shared" si="3"/>
        <v>-0.9268048100177806</v>
      </c>
    </row>
    <row r="69" spans="1:6" ht="91.5">
      <c r="A69" s="76" t="s">
        <v>45</v>
      </c>
      <c r="B69" s="85">
        <f>SUM(B65:B68)</f>
        <v>21518635</v>
      </c>
      <c r="C69" s="85">
        <f>SUM(C65:C68)</f>
        <v>19665991</v>
      </c>
      <c r="D69" s="85">
        <f>SUM(D65:D68)</f>
        <v>18562122</v>
      </c>
      <c r="E69" s="85">
        <f>SUM(E65:E68)</f>
        <v>-1103869</v>
      </c>
      <c r="F69" s="87">
        <f t="shared" si="3"/>
        <v>-0.0561308606314322</v>
      </c>
    </row>
    <row r="70" spans="1:6" ht="91.5">
      <c r="A70" s="80" t="s">
        <v>57</v>
      </c>
      <c r="B70" s="78">
        <f>SUBR!B70+SULAW!B70+SUNO!B70+SUSBO!B70+SUBOS!B70+SUAG!B70</f>
        <v>628007</v>
      </c>
      <c r="C70" s="78">
        <f>SUBR!C70+SULAW!C70+SUNO!C70+SUSBO!C70+SUBOS!C70+SUAG!C70</f>
        <v>862764</v>
      </c>
      <c r="D70" s="78">
        <f>SUBR!D70+SULAW!D70+SUNO!D70+SUSBO!D70+SUBOS!D70+SUAG!D70</f>
        <v>714799</v>
      </c>
      <c r="E70" s="78">
        <f>SUBR!E70+SULAW!E70+SUNO!E70+SUSBO!E70+SUBOS!E70+SUAG!E70</f>
        <v>-147965</v>
      </c>
      <c r="F70" s="90">
        <f t="shared" si="3"/>
        <v>-0.17150112892981162</v>
      </c>
    </row>
    <row r="71" spans="1:6" ht="91.5">
      <c r="A71" s="80" t="s">
        <v>46</v>
      </c>
      <c r="B71" s="78">
        <f>SUBR!B71+SULAW!B71+SUNO!B71+SUSBO!B71+SUBOS!B71+SUAG!B71</f>
        <v>815493</v>
      </c>
      <c r="C71" s="78">
        <f>SUBR!C71+SULAW!C71+SUNO!C71+SUSBO!C71+SUBOS!C71+SUAG!C71</f>
        <v>1097297</v>
      </c>
      <c r="D71" s="78">
        <f>SUBR!D71+SULAW!D71+SUNO!D71+SUSBO!D71+SUBOS!D71+SUAG!D71</f>
        <v>947297</v>
      </c>
      <c r="E71" s="78">
        <f>SUBR!E71+SULAW!E71+SUNO!E71+SUSBO!E71+SUBOS!E71+SUAG!E71</f>
        <v>-150000</v>
      </c>
      <c r="F71" s="90">
        <f t="shared" si="3"/>
        <v>-0.13669954442598495</v>
      </c>
    </row>
    <row r="72" spans="1:6" ht="91.5">
      <c r="A72" s="98" t="s">
        <v>47</v>
      </c>
      <c r="B72" s="78">
        <f>SUBR!B72+SULAW!B72+SUNO!B72+SUSBO!B72+SUBOS!B72+SUAG!B72</f>
        <v>449457</v>
      </c>
      <c r="C72" s="78">
        <f>SUBR!C72+SULAW!C72+SUNO!C72+SUSBO!C72+SUBOS!C72+SUAG!C72</f>
        <v>413930</v>
      </c>
      <c r="D72" s="78">
        <f>SUBR!D72+SULAW!D72+SUNO!D72+SUSBO!D72+SUBOS!D72+SUAG!D72</f>
        <v>170000</v>
      </c>
      <c r="E72" s="78">
        <f>SUBR!E72+SULAW!E72+SUNO!E72+SUSBO!E72+SUBOS!E72+SUAG!E72</f>
        <v>-243930</v>
      </c>
      <c r="F72" s="90">
        <f t="shared" si="3"/>
        <v>-0.5893025390766554</v>
      </c>
    </row>
    <row r="73" spans="1:6" ht="91.5">
      <c r="A73" s="99" t="s">
        <v>48</v>
      </c>
      <c r="B73" s="85">
        <f>SUM(B70:B72)</f>
        <v>1892957</v>
      </c>
      <c r="C73" s="85">
        <f>SUM(C70:C72)</f>
        <v>2373991</v>
      </c>
      <c r="D73" s="85">
        <f>SUM(D70:D72)</f>
        <v>1832096</v>
      </c>
      <c r="E73" s="85">
        <f>SUM(E70:E72)</f>
        <v>-541895</v>
      </c>
      <c r="F73" s="95">
        <f t="shared" si="3"/>
        <v>-0.22826329164685122</v>
      </c>
    </row>
    <row r="74" spans="1:6" ht="91.5">
      <c r="A74" s="94" t="s">
        <v>31</v>
      </c>
      <c r="B74" s="85">
        <f>B73+B69+B64+B60+4</f>
        <v>141879152</v>
      </c>
      <c r="C74" s="85">
        <f>C73+C69+C64+C60</f>
        <v>143071356</v>
      </c>
      <c r="D74" s="85">
        <f>D73+D69+D64+D60</f>
        <v>152440672</v>
      </c>
      <c r="E74" s="85">
        <f>E73+E69+E64+E60</f>
        <v>9369316</v>
      </c>
      <c r="F74" s="95">
        <f t="shared" si="3"/>
        <v>0.06548701474528557</v>
      </c>
    </row>
    <row r="75" ht="91.5">
      <c r="A75" s="56" t="s">
        <v>186</v>
      </c>
    </row>
    <row r="76" spans="1:6" ht="91.5">
      <c r="A76" s="56" t="s">
        <v>0</v>
      </c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35" zoomScaleNormal="35" zoomScalePageLayoutView="0" workbookViewId="0" topLeftCell="A1">
      <selection activeCell="F76" sqref="A1:F76"/>
    </sheetView>
  </sheetViews>
  <sheetFormatPr defaultColWidth="8.88671875" defaultRowHeight="15"/>
  <cols>
    <col min="1" max="1" width="255.6640625" style="0" customWidth="1"/>
    <col min="2" max="2" width="75.88671875" style="0" customWidth="1"/>
    <col min="3" max="3" width="76.21484375" style="0" customWidth="1"/>
    <col min="4" max="4" width="75.5546875" style="0" customWidth="1"/>
    <col min="5" max="5" width="72.10546875" style="0" customWidth="1"/>
    <col min="6" max="6" width="70.10546875" style="0" customWidth="1"/>
  </cols>
  <sheetData>
    <row r="1" spans="1:6" ht="91.5">
      <c r="A1" s="50" t="s">
        <v>3</v>
      </c>
      <c r="B1" s="51"/>
      <c r="C1" s="52"/>
      <c r="D1" s="53"/>
      <c r="E1" s="54" t="s">
        <v>6</v>
      </c>
      <c r="F1" s="123" t="s">
        <v>197</v>
      </c>
    </row>
    <row r="2" spans="1:6" ht="91.5">
      <c r="A2" s="50" t="s">
        <v>4</v>
      </c>
      <c r="B2" s="51"/>
      <c r="C2" s="51"/>
      <c r="D2" s="51"/>
      <c r="E2" s="51"/>
      <c r="F2" s="57"/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0.7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8"/>
      <c r="C7" s="70"/>
      <c r="D7" s="70"/>
      <c r="E7" s="72"/>
      <c r="F7" s="71"/>
    </row>
    <row r="8" spans="1:6" ht="90">
      <c r="A8" s="73" t="s">
        <v>13</v>
      </c>
      <c r="B8" s="74">
        <f>LSUE!B8+SUSBO!B8+'TOTAL LCTCS'!B8-LCTCSBOS!B8</f>
        <v>172556435.99</v>
      </c>
      <c r="C8" s="74">
        <f>LSUE!C8+SUSBO!C8+'TOTAL LCTCS'!C8-LCTCSBOS!C8</f>
        <v>172556436</v>
      </c>
      <c r="D8" s="74">
        <f>LSUE!D8+SUSBO!D8+'TOTAL LCTCS'!D8-LCTCSBOS!D8</f>
        <v>191278514</v>
      </c>
      <c r="E8" s="74">
        <f>LSUE!E8+SUSBO!E8+'TOTAL LCTCS'!E8-LCTCSBOS!E8</f>
        <v>18722078</v>
      </c>
      <c r="F8" s="75">
        <f>IF(ISERROR(E8/C8),0,(E8/C8))</f>
        <v>0.10849828864105654</v>
      </c>
    </row>
    <row r="9" spans="1:6" ht="90">
      <c r="A9" s="76" t="s">
        <v>60</v>
      </c>
      <c r="B9" s="74">
        <f>SUM(B10:B23)</f>
        <v>7543356</v>
      </c>
      <c r="C9" s="74">
        <f>SUM(C10:C23)</f>
        <v>7737855</v>
      </c>
      <c r="D9" s="74">
        <f>SUM(D10:D23)</f>
        <v>10368522</v>
      </c>
      <c r="E9" s="74">
        <f>SUM(E10:E23)</f>
        <v>2630667</v>
      </c>
      <c r="F9" s="75">
        <f aca="true" t="shared" si="0" ref="F9:F30">IF(ISERROR(E9/C9),0,(E9/C9))</f>
        <v>0.3399736748750138</v>
      </c>
    </row>
    <row r="10" spans="1:6" ht="91.5">
      <c r="A10" s="77" t="s">
        <v>61</v>
      </c>
      <c r="B10" s="78">
        <f>LSUE!B10+SUSBO!B10+'TOTAL LCTCS'!B10-LCTCSBOS!B10</f>
        <v>1440283.7599999998</v>
      </c>
      <c r="C10" s="78">
        <f>LSUE!C10+SUSBO!C10+'TOTAL LCTCS'!C10-LCTCSBOS!C10</f>
        <v>1440283</v>
      </c>
      <c r="D10" s="78">
        <f>LSUE!D10+SUSBO!D10+'TOTAL LCTCS'!D10-LCTCSBOS!D10</f>
        <v>3848210</v>
      </c>
      <c r="E10" s="78">
        <f>LSUE!E10+SUSBO!E10+'TOTAL LCTCS'!E10-LCTCSBOS!E10</f>
        <v>2407927</v>
      </c>
      <c r="F10" s="79">
        <f t="shared" si="0"/>
        <v>1.671842964195231</v>
      </c>
    </row>
    <row r="11" spans="1:6" ht="91.5">
      <c r="A11" s="80" t="s">
        <v>62</v>
      </c>
      <c r="B11" s="78">
        <f>LSUE!B11+SUSBO!B11+'TOTAL LCTCS'!B11-LCTCSBOS!B11</f>
        <v>5986238.24</v>
      </c>
      <c r="C11" s="78">
        <f>LSUE!C11+SUSBO!C11+'TOTAL LCTCS'!C11-LCTCSBOS!C11</f>
        <v>5986239</v>
      </c>
      <c r="D11" s="78">
        <f>LSUE!D11+SUSBO!D11+'TOTAL LCTCS'!D11-LCTCSBOS!D11</f>
        <v>6336565</v>
      </c>
      <c r="E11" s="78">
        <f>LSUE!E11+SUSBO!E11+'TOTAL LCTCS'!E11-LCTCSBOS!E11</f>
        <v>350326</v>
      </c>
      <c r="F11" s="79">
        <f t="shared" si="0"/>
        <v>0.058521886613614994</v>
      </c>
    </row>
    <row r="12" spans="1:6" ht="91.5">
      <c r="A12" s="80" t="s">
        <v>65</v>
      </c>
      <c r="B12" s="78">
        <f>LSUE!B12+SUSBO!B12+'TOTAL LCTCS'!B12-LCTCSBOS!B12</f>
        <v>0</v>
      </c>
      <c r="C12" s="78">
        <f>LSUE!C12+SUSBO!C12+'TOTAL LCTCS'!C12-LCTCSBOS!C12</f>
        <v>0</v>
      </c>
      <c r="D12" s="78">
        <f>LSUE!D12+SUSBO!D12+'TOTAL LCTCS'!D12-LCTCSBOS!D12</f>
        <v>0</v>
      </c>
      <c r="E12" s="78">
        <f>LSUE!E12+SUSBO!E12+'TOTAL LCTCS'!E12-LCTCSBOS!E12</f>
        <v>0</v>
      </c>
      <c r="F12" s="79">
        <f t="shared" si="0"/>
        <v>0</v>
      </c>
    </row>
    <row r="13" spans="1:6" ht="91.5">
      <c r="A13" s="80" t="s">
        <v>66</v>
      </c>
      <c r="B13" s="78">
        <f>LSUE!B13+SUSBO!B13+'TOTAL LCTCS'!B13-LCTCSBOS!B13</f>
        <v>116834</v>
      </c>
      <c r="C13" s="78">
        <f>LSUE!C13+SUSBO!C13+'TOTAL LCTCS'!C13-LCTCSBOS!C13</f>
        <v>116834</v>
      </c>
      <c r="D13" s="78">
        <f>LSUE!D13+SUSBO!D13+'TOTAL LCTCS'!D13-LCTCSBOS!D13</f>
        <v>183747</v>
      </c>
      <c r="E13" s="78">
        <f>LSUE!E13+SUSBO!E13+'TOTAL LCTCS'!E13-LCTCSBOS!E13</f>
        <v>66913</v>
      </c>
      <c r="F13" s="79">
        <f t="shared" si="0"/>
        <v>0.5727185579540203</v>
      </c>
    </row>
    <row r="14" spans="1:6" ht="91.5">
      <c r="A14" s="80" t="s">
        <v>67</v>
      </c>
      <c r="B14" s="78">
        <f>LSUE!B14+SUSBO!B14+'TOTAL LCTCS'!B14-LCTCSBOS!B14</f>
        <v>0</v>
      </c>
      <c r="C14" s="78">
        <f>LSUE!C14+SUSBO!C14+'TOTAL LCTCS'!C14-LCTCSBOS!C14</f>
        <v>0</v>
      </c>
      <c r="D14" s="78">
        <f>LSUE!D14+SUSBO!D14+'TOTAL LCTCS'!D14-LCTCSBOS!D14</f>
        <v>0</v>
      </c>
      <c r="E14" s="78">
        <f>LSUE!E14+SUSBO!E14+'TOTAL LCTCS'!E14-LCTCSBOS!E14</f>
        <v>0</v>
      </c>
      <c r="F14" s="79">
        <f t="shared" si="0"/>
        <v>0</v>
      </c>
    </row>
    <row r="15" spans="1:6" ht="91.5">
      <c r="A15" s="80" t="s">
        <v>74</v>
      </c>
      <c r="B15" s="78">
        <f>LSUE!B15+SUSBO!B15+'TOTAL LCTCS'!B15-LCTCSBOS!B15</f>
        <v>0</v>
      </c>
      <c r="C15" s="78">
        <f>LSUE!C15+SUSBO!C15+'TOTAL LCTCS'!C15-LCTCSBOS!C15</f>
        <v>0</v>
      </c>
      <c r="D15" s="78">
        <f>LSUE!D15+SUSBO!D15+'TOTAL LCTCS'!D15-LCTCSBOS!D15</f>
        <v>0</v>
      </c>
      <c r="E15" s="78">
        <f>LSUE!E15+SUSBO!E15+'TOTAL LCTCS'!E15-LCTCSBOS!E15</f>
        <v>0</v>
      </c>
      <c r="F15" s="79">
        <f t="shared" si="0"/>
        <v>0</v>
      </c>
    </row>
    <row r="16" spans="1:6" ht="91.5">
      <c r="A16" s="80" t="s">
        <v>63</v>
      </c>
      <c r="B16" s="78">
        <f>LSUE!B16+SUSBO!B16+'TOTAL LCTCS'!B16-LCTCSBOS!B16</f>
        <v>0</v>
      </c>
      <c r="C16" s="78">
        <f>LSUE!C16+SUSBO!C16+'TOTAL LCTCS'!C16-LCTCSBOS!C16</f>
        <v>0</v>
      </c>
      <c r="D16" s="78">
        <f>LSUE!D16+SUSBO!D16+'TOTAL LCTCS'!D16-LCTCSBOS!D16</f>
        <v>0</v>
      </c>
      <c r="E16" s="78">
        <f>LSUE!E16+SUSBO!E16+'TOTAL LCTCS'!E16-LCTCSBOS!E16</f>
        <v>0</v>
      </c>
      <c r="F16" s="79">
        <f t="shared" si="0"/>
        <v>0</v>
      </c>
    </row>
    <row r="17" spans="1:6" ht="91.5">
      <c r="A17" s="80" t="s">
        <v>64</v>
      </c>
      <c r="B17" s="78">
        <f>LSUE!B17+SUSBO!B17+'TOTAL LCTCS'!B17-LCTCSBOS!B17</f>
        <v>0</v>
      </c>
      <c r="C17" s="78">
        <f>LSUE!C17+SUSBO!C17+'TOTAL LCTCS'!C17-LCTCSBOS!C17</f>
        <v>0</v>
      </c>
      <c r="D17" s="78">
        <f>LSUE!D17+SUSBO!D17+'TOTAL LCTCS'!D17-LCTCSBOS!D17</f>
        <v>0</v>
      </c>
      <c r="E17" s="78">
        <f>LSUE!E17+SUSBO!E17+'TOTAL LCTCS'!E17-LCTCSBOS!E17</f>
        <v>0</v>
      </c>
      <c r="F17" s="79">
        <f t="shared" si="0"/>
        <v>0</v>
      </c>
    </row>
    <row r="18" spans="1:6" ht="91.5">
      <c r="A18" s="80" t="s">
        <v>73</v>
      </c>
      <c r="B18" s="78">
        <f>LSUE!B18+SUSBO!B18+'TOTAL LCTCS'!B18-LCTCSBOS!B18</f>
        <v>0</v>
      </c>
      <c r="C18" s="78">
        <f>LSUE!C18+SUSBO!C18+'TOTAL LCTCS'!C18-LCTCSBOS!C18</f>
        <v>0</v>
      </c>
      <c r="D18" s="78">
        <f>LSUE!D18+SUSBO!D18+'TOTAL LCTCS'!D18-LCTCSBOS!D18</f>
        <v>0</v>
      </c>
      <c r="E18" s="78">
        <f>LSUE!E18+SUSBO!E18+'TOTAL LCTCS'!E18-LCTCSBOS!E18</f>
        <v>0</v>
      </c>
      <c r="F18" s="79">
        <f t="shared" si="0"/>
        <v>0</v>
      </c>
    </row>
    <row r="19" spans="1:6" ht="91.5">
      <c r="A19" s="80" t="s">
        <v>96</v>
      </c>
      <c r="B19" s="78">
        <f>LSUE!B19+SUSBO!B19+'TOTAL LCTCS'!B19-LCTCSBOS!B19</f>
        <v>0</v>
      </c>
      <c r="C19" s="78">
        <f>LSUE!C19+SUSBO!C19+'TOTAL LCTCS'!C19-LCTCSBOS!C19</f>
        <v>0</v>
      </c>
      <c r="D19" s="78">
        <f>LSUE!D19+SUSBO!D19+'TOTAL LCTCS'!D19-LCTCSBOS!D19</f>
        <v>0</v>
      </c>
      <c r="E19" s="78">
        <f>LSUE!E19+SUSBO!E19+'TOTAL LCTCS'!E19-LCTCSBOS!E19</f>
        <v>0</v>
      </c>
      <c r="F19" s="79">
        <f t="shared" si="0"/>
        <v>0</v>
      </c>
    </row>
    <row r="20" spans="1:6" ht="91.5">
      <c r="A20" s="80" t="s">
        <v>68</v>
      </c>
      <c r="B20" s="78">
        <f>LSUE!B20+SUSBO!B20+'TOTAL LCTCS'!B20-LCTCSBOS!B20</f>
        <v>0</v>
      </c>
      <c r="C20" s="78">
        <f>LSUE!C20+SUSBO!C20+'TOTAL LCTCS'!C20-LCTCSBOS!C20</f>
        <v>0</v>
      </c>
      <c r="D20" s="78">
        <f>LSUE!D20+SUSBO!D20+'TOTAL LCTCS'!D20-LCTCSBOS!D20</f>
        <v>0</v>
      </c>
      <c r="E20" s="78">
        <f>LSUE!E20+SUSBO!E20+'TOTAL LCTCS'!E20-LCTCSBOS!E20</f>
        <v>0</v>
      </c>
      <c r="F20" s="79">
        <f t="shared" si="0"/>
        <v>0</v>
      </c>
    </row>
    <row r="21" spans="1:6" ht="91.5">
      <c r="A21" s="80" t="s">
        <v>69</v>
      </c>
      <c r="B21" s="78">
        <f>LSUE!B21+SUSBO!B21+'TOTAL LCTCS'!B21-LCTCSBOS!B21</f>
        <v>0</v>
      </c>
      <c r="C21" s="78">
        <f>LSUE!C21+SUSBO!C21+'TOTAL LCTCS'!C21-LCTCSBOS!C21</f>
        <v>0</v>
      </c>
      <c r="D21" s="78">
        <f>LSUE!D21+SUSBO!D21+'TOTAL LCTCS'!D21-LCTCSBOS!D21</f>
        <v>0</v>
      </c>
      <c r="E21" s="78">
        <f>LSUE!E21+SUSBO!E21+'TOTAL LCTCS'!E21-LCTCSBOS!E21</f>
        <v>0</v>
      </c>
      <c r="F21" s="79">
        <f t="shared" si="0"/>
        <v>0</v>
      </c>
    </row>
    <row r="22" spans="1:6" ht="91.5">
      <c r="A22" s="81" t="s">
        <v>70</v>
      </c>
      <c r="B22" s="78">
        <f>LSUE!B22+SUSBO!B22+'TOTAL LCTCS'!B22-LCTCSBOS!B22</f>
        <v>0</v>
      </c>
      <c r="C22" s="78">
        <f>LSUE!C22+SUSBO!C22+'TOTAL LCTCS'!C22-LCTCSBOS!C22</f>
        <v>0</v>
      </c>
      <c r="D22" s="78">
        <f>LSUE!D22+SUSBO!D22+'TOTAL LCTCS'!D22-LCTCSBOS!D22</f>
        <v>0</v>
      </c>
      <c r="E22" s="78">
        <f>LSUE!E22+SUSBO!E22+'TOTAL LCTCS'!E22-LCTCSBOS!E22</f>
        <v>0</v>
      </c>
      <c r="F22" s="79">
        <f t="shared" si="0"/>
        <v>0</v>
      </c>
    </row>
    <row r="23" spans="1:6" ht="91.5">
      <c r="A23" s="130" t="s">
        <v>71</v>
      </c>
      <c r="B23" s="78">
        <f>LSUE!B23+SUSBO!B23+'TOTAL LCTCS'!B23-LCTCSBOS!B23</f>
        <v>0</v>
      </c>
      <c r="C23" s="78">
        <f>LSUE!C23+SUSBO!C23+'TOTAL LCTCS'!C23-LCTCSBOS!C23</f>
        <v>194499</v>
      </c>
      <c r="D23" s="78">
        <f>LSUE!D23+SUSBO!D23+'TOTAL LCTCS'!D23-LCTCSBOS!D23</f>
        <v>0</v>
      </c>
      <c r="E23" s="78">
        <f>LSUE!E23+SUSBO!E23+'TOTAL LCTCS'!E23-LCTCSBOS!E23</f>
        <v>-194499</v>
      </c>
      <c r="F23" s="79">
        <f t="shared" si="0"/>
        <v>-1</v>
      </c>
    </row>
    <row r="24" spans="1:6" ht="91.5">
      <c r="A24" s="130" t="s">
        <v>195</v>
      </c>
      <c r="B24" s="78">
        <f>LSUE!B24+SUSBO!B24+'TOTAL LCTCS'!B24-LCTCSBOS!B24</f>
        <v>0</v>
      </c>
      <c r="C24" s="78">
        <f>LSUE!C24+SUSBO!C24+'TOTAL LCTCS'!C24-LCTCSBOS!C24</f>
        <v>0</v>
      </c>
      <c r="D24" s="78">
        <f>LSUE!D24+SUSBO!D24+'TOTAL LCTCS'!D24-LCTCSBOS!D24</f>
        <v>0</v>
      </c>
      <c r="E24" s="78">
        <f>LSUE!E24+SUSBO!E24+'TOTAL LCTCS'!E24-LCTCSBOS!E24</f>
        <v>0</v>
      </c>
      <c r="F24" s="144">
        <f t="shared" si="0"/>
        <v>0</v>
      </c>
    </row>
    <row r="25" spans="1:6" ht="90">
      <c r="A25" s="82" t="s">
        <v>50</v>
      </c>
      <c r="B25" s="120">
        <f>B26</f>
        <v>0</v>
      </c>
      <c r="C25" s="120">
        <f>C26</f>
        <v>0</v>
      </c>
      <c r="D25" s="120">
        <f>D26</f>
        <v>0</v>
      </c>
      <c r="E25" s="120">
        <f>E26</f>
        <v>0</v>
      </c>
      <c r="F25" s="136">
        <f t="shared" si="0"/>
        <v>0</v>
      </c>
    </row>
    <row r="26" spans="1:6" ht="91.5">
      <c r="A26" s="77" t="s">
        <v>53</v>
      </c>
      <c r="B26" s="78">
        <v>0</v>
      </c>
      <c r="C26" s="78">
        <v>0</v>
      </c>
      <c r="D26" s="78">
        <v>0</v>
      </c>
      <c r="E26" s="78">
        <v>0</v>
      </c>
      <c r="F26" s="79">
        <f t="shared" si="0"/>
        <v>0</v>
      </c>
    </row>
    <row r="27" spans="1:6" ht="90">
      <c r="A27" s="76" t="s">
        <v>52</v>
      </c>
      <c r="B27" s="83">
        <f>B28</f>
        <v>0</v>
      </c>
      <c r="C27" s="83">
        <f>C28</f>
        <v>0</v>
      </c>
      <c r="D27" s="83">
        <f>D28</f>
        <v>0</v>
      </c>
      <c r="E27" s="83">
        <f>E28</f>
        <v>0</v>
      </c>
      <c r="F27" s="75">
        <f t="shared" si="0"/>
        <v>0</v>
      </c>
    </row>
    <row r="28" spans="1:6" ht="91.5">
      <c r="A28" s="77" t="s">
        <v>53</v>
      </c>
      <c r="B28" s="78">
        <f>LUMCON!B26+BOR!B28+'TOTAL ULS SYSTEM'!B27+'TOTAL LSU SYSTEM'!B28+'TOTAL SU SYSTEM'!B28+'TOTAL LCTCS'!B27</f>
        <v>0</v>
      </c>
      <c r="C28" s="78">
        <f>LUMCON!C26+BOR!C28+'TOTAL ULS SYSTEM'!C27+'TOTAL LSU SYSTEM'!C28+'TOTAL SU SYSTEM'!C28+'TOTAL LCTCS'!C27</f>
        <v>0</v>
      </c>
      <c r="D28" s="78">
        <f>LUMCON!D26+BOR!D28+'TOTAL ULS SYSTEM'!D27+'TOTAL LSU SYSTEM'!D28+'TOTAL SU SYSTEM'!D28+'TOTAL LCTCS'!D27</f>
        <v>0</v>
      </c>
      <c r="E28" s="78">
        <f>LUMCON!E26+BOR!E28+'TOTAL ULS SYSTEM'!E27+'TOTAL LSU SYSTEM'!E28+'TOTAL SU SYSTEM'!E28+'TOTAL LCTCS'!E27</f>
        <v>0</v>
      </c>
      <c r="F28" s="79">
        <f t="shared" si="0"/>
        <v>0</v>
      </c>
    </row>
    <row r="29" spans="1:6" ht="91.5">
      <c r="A29" s="80" t="s">
        <v>54</v>
      </c>
      <c r="B29" s="78">
        <f>LSUE!B29+SUSBO!B29+'TOTAL LCTCS'!B28-LCTCSBOS!B28</f>
        <v>0</v>
      </c>
      <c r="C29" s="78">
        <f>LSUE!C29+SUSBO!C29+'TOTAL LCTCS'!C28-LCTCSBOS!C28</f>
        <v>0</v>
      </c>
      <c r="D29" s="78">
        <f>LSUE!D29+SUSBO!D29+'TOTAL LCTCS'!D28-LCTCSBOS!D28</f>
        <v>0</v>
      </c>
      <c r="E29" s="78">
        <f>LSUE!E29+SUSBO!E29+'TOTAL LCTCS'!E28-LCTCSBOS!E28</f>
        <v>0</v>
      </c>
      <c r="F29" s="79">
        <f t="shared" si="0"/>
        <v>0</v>
      </c>
    </row>
    <row r="30" spans="1:6" ht="90">
      <c r="A30" s="76" t="s">
        <v>14</v>
      </c>
      <c r="B30" s="74">
        <f>B29+B28+B9+B8</f>
        <v>180099791.99</v>
      </c>
      <c r="C30" s="74">
        <f>C29+C28+C9+C8</f>
        <v>180294291</v>
      </c>
      <c r="D30" s="74">
        <f>D29+D28+D9+D8</f>
        <v>201647036</v>
      </c>
      <c r="E30" s="74">
        <f>E29+E28+E9+E8</f>
        <v>21352745</v>
      </c>
      <c r="F30" s="75">
        <f t="shared" si="0"/>
        <v>0.11843272951998242</v>
      </c>
    </row>
    <row r="31" spans="1:6" ht="90">
      <c r="A31" s="76"/>
      <c r="B31" s="86"/>
      <c r="C31" s="86"/>
      <c r="D31" s="86"/>
      <c r="E31" s="86"/>
      <c r="F31" s="87"/>
    </row>
    <row r="32" spans="1:6" ht="90">
      <c r="A32" s="131" t="s">
        <v>78</v>
      </c>
      <c r="B32" s="74">
        <f>LSUE!B32+SUSBO!B32+'TOTAL LCTCS'!B31-LCTCSBOS!B31</f>
        <v>-1845616</v>
      </c>
      <c r="C32" s="74">
        <f>LSUE!C32+SUSBO!C32+'TOTAL LCTCS'!C31-LCTCSBOS!C31</f>
        <v>0</v>
      </c>
      <c r="D32" s="74">
        <f>LSUE!D32+SUSBO!D32+'TOTAL LCTCS'!D31-LCTCSBOS!D31</f>
        <v>0</v>
      </c>
      <c r="E32" s="74">
        <f>LSUE!E32+SUSBO!E32+'TOTAL LCTCS'!E31-LCTCSBOS!E31</f>
        <v>0</v>
      </c>
      <c r="F32" s="132">
        <f>IF(ISERROR(E32/C32),0,(E32/C32))</f>
        <v>0</v>
      </c>
    </row>
    <row r="33" spans="1:6" ht="90">
      <c r="A33" s="82" t="s">
        <v>0</v>
      </c>
      <c r="B33" s="159"/>
      <c r="C33" s="159"/>
      <c r="D33" s="159"/>
      <c r="E33" s="159"/>
      <c r="F33" s="160"/>
    </row>
    <row r="34" spans="1:6" ht="90">
      <c r="A34" s="131" t="s">
        <v>15</v>
      </c>
      <c r="B34" s="74">
        <f>LSUE!B34+SUSBO!B34+'TOTAL LCTCS'!B33-LCTCSBOS!B33</f>
        <v>0</v>
      </c>
      <c r="C34" s="74">
        <f>LSUE!C34+SUSBO!C34+'TOTAL LCTCS'!C33-LCTCSBOS!C33</f>
        <v>10944884</v>
      </c>
      <c r="D34" s="74">
        <f>LSUE!D34+SUSBO!D34+'TOTAL LCTCS'!D33-LCTCSBOS!D33</f>
        <v>10944884</v>
      </c>
      <c r="E34" s="74">
        <f>LSUE!E34+SUSBO!E34+'TOTAL LCTCS'!E33-LCTCSBOS!E33</f>
        <v>0</v>
      </c>
      <c r="F34" s="136">
        <f>IF(ISERROR(E34/C34),0,(E34/C34))</f>
        <v>0</v>
      </c>
    </row>
    <row r="35" spans="1:6" ht="90">
      <c r="A35" s="133" t="s">
        <v>0</v>
      </c>
      <c r="B35" s="134"/>
      <c r="C35" s="134"/>
      <c r="D35" s="134"/>
      <c r="E35" s="134"/>
      <c r="F35" s="135"/>
    </row>
    <row r="36" spans="1:6" ht="90">
      <c r="A36" s="131" t="s">
        <v>56</v>
      </c>
      <c r="B36" s="74">
        <f>LSUE!B36+SUSBO!B36+'TOTAL LCTCS'!B35-LCTCSBOS!B35</f>
        <v>71026067.62</v>
      </c>
      <c r="C36" s="74">
        <f>LSUE!C36+SUSBO!C36+'TOTAL LCTCS'!C35-LCTCSBOS!C35</f>
        <v>86348067</v>
      </c>
      <c r="D36" s="74">
        <f>LSUE!D36+SUSBO!D36+'TOTAL LCTCS'!D35-LCTCSBOS!D35</f>
        <v>85315377</v>
      </c>
      <c r="E36" s="74">
        <f>LSUE!E36+SUSBO!E36+'TOTAL LCTCS'!E35-LCTCSBOS!E35</f>
        <v>-1032690</v>
      </c>
      <c r="F36" s="136">
        <f>IF(ISERROR(E36/C36),0,(E36/C36))</f>
        <v>-0.011959619200276944</v>
      </c>
    </row>
    <row r="37" spans="1:6" ht="90">
      <c r="A37" s="133" t="s">
        <v>0</v>
      </c>
      <c r="B37" s="134"/>
      <c r="C37" s="134"/>
      <c r="D37" s="134"/>
      <c r="E37" s="134"/>
      <c r="F37" s="135"/>
    </row>
    <row r="38" spans="1:6" ht="90">
      <c r="A38" s="131" t="s">
        <v>16</v>
      </c>
      <c r="B38" s="74">
        <f>LSUE!B38+SUSBO!B38+'TOTAL LCTCS'!B37-LCTCSBOS!B37</f>
        <v>20399618.000000004</v>
      </c>
      <c r="C38" s="74">
        <f>LSUE!C38+SUSBO!C38+'TOTAL LCTCS'!C37-LCTCSBOS!C37</f>
        <v>21723693</v>
      </c>
      <c r="D38" s="74">
        <f>LSUE!D38+SUSBO!D38+'TOTAL LCTCS'!D37-LCTCSBOS!D37</f>
        <v>21723693</v>
      </c>
      <c r="E38" s="74">
        <f>LSUE!E38+SUSBO!E38+'TOTAL LCTCS'!E37-LCTCSBOS!E37</f>
        <v>0</v>
      </c>
      <c r="F38" s="136">
        <f>IF(ISERROR(E38/C38),0,(E38/C38))</f>
        <v>0</v>
      </c>
    </row>
    <row r="39" spans="1:6" ht="90">
      <c r="A39" s="133"/>
      <c r="B39" s="134"/>
      <c r="C39" s="134"/>
      <c r="D39" s="134"/>
      <c r="E39" s="134"/>
      <c r="F39" s="135"/>
    </row>
    <row r="40" spans="1:6" ht="90">
      <c r="A40" s="131" t="s">
        <v>17</v>
      </c>
      <c r="B40" s="74">
        <f>LSUE!B40+SUSBO!B40+'TOTAL LCTCS'!B39-LCTCSBOS!B39</f>
        <v>269679861.61</v>
      </c>
      <c r="C40" s="74">
        <f>LSUE!C40+SUSBO!C40+'TOTAL LCTCS'!C39-LCTCSBOS!C39</f>
        <v>299310935</v>
      </c>
      <c r="D40" s="74">
        <f>LSUE!D40+SUSBO!D40+'TOTAL LCTCS'!D39-LCTCSBOS!D39</f>
        <v>319630991</v>
      </c>
      <c r="E40" s="74">
        <f>LSUE!E40+SUSBO!E40+'TOTAL LCTCS'!E39-LCTCSBOS!E39</f>
        <v>20320056</v>
      </c>
      <c r="F40" s="136">
        <f>IF(ISERROR(E40/C40),0,(E40/C40))</f>
        <v>0.06788945415575946</v>
      </c>
    </row>
    <row r="41" spans="1:6" ht="90">
      <c r="A41" s="146" t="s">
        <v>18</v>
      </c>
      <c r="B41" s="134"/>
      <c r="C41" s="134"/>
      <c r="D41" s="134"/>
      <c r="E41" s="134"/>
      <c r="F41" s="147"/>
    </row>
    <row r="42" spans="1:6" ht="91.5">
      <c r="A42" s="137" t="s">
        <v>19</v>
      </c>
      <c r="B42" s="78">
        <f>LSUE!B42+SUSBO!B42+'TOTAL LCTCS'!B41-LCTCSBOS!B41</f>
        <v>120172281.77300002</v>
      </c>
      <c r="C42" s="78">
        <f>LSUE!C42+SUSBO!C42+'TOTAL LCTCS'!C41-LCTCSBOS!C41</f>
        <v>129707286.09</v>
      </c>
      <c r="D42" s="78">
        <f>LSUE!D42+SUSBO!D42+'TOTAL LCTCS'!D41-LCTCSBOS!D41</f>
        <v>141673926.52541536</v>
      </c>
      <c r="E42" s="78">
        <f>LSUE!E42+SUSBO!E42+'TOTAL LCTCS'!E41-LCTCSBOS!E41</f>
        <v>11966640.435415357</v>
      </c>
      <c r="F42" s="139">
        <f>IF(ISERROR(E42/C42),0,(E42/C42))</f>
        <v>0.09225881441318619</v>
      </c>
    </row>
    <row r="43" spans="1:6" ht="91.5">
      <c r="A43" s="77" t="s">
        <v>20</v>
      </c>
      <c r="B43" s="78">
        <f>LSUE!B43+SUSBO!B43+'TOTAL LCTCS'!B42-LCTCSBOS!B42</f>
        <v>0</v>
      </c>
      <c r="C43" s="78">
        <f>LSUE!C43+SUSBO!C43+'TOTAL LCTCS'!C42-LCTCSBOS!C42</f>
        <v>0</v>
      </c>
      <c r="D43" s="78">
        <f>LSUE!D43+SUSBO!D43+'TOTAL LCTCS'!D42-LCTCSBOS!D42</f>
        <v>0</v>
      </c>
      <c r="E43" s="78">
        <f>LSUE!E43+SUSBO!E43+'TOTAL LCTCS'!E42-LCTCSBOS!E42</f>
        <v>0</v>
      </c>
      <c r="F43" s="92">
        <f aca="true" t="shared" si="1" ref="F43:F55">IF(ISERROR(E43/C43),0,(E43/C43))</f>
        <v>0</v>
      </c>
    </row>
    <row r="44" spans="1:6" ht="91.5">
      <c r="A44" s="80" t="s">
        <v>21</v>
      </c>
      <c r="B44" s="78">
        <f>LSUE!B44+SUSBO!B44+'TOTAL LCTCS'!B43-LCTCSBOS!B43</f>
        <v>319687.19</v>
      </c>
      <c r="C44" s="78">
        <f>LSUE!C44+SUSBO!C44+'TOTAL LCTCS'!C43-LCTCSBOS!C43</f>
        <v>506006</v>
      </c>
      <c r="D44" s="78">
        <f>LSUE!D44+SUSBO!D44+'TOTAL LCTCS'!D43-LCTCSBOS!D43</f>
        <v>587369</v>
      </c>
      <c r="E44" s="78">
        <f>LSUE!E44+SUSBO!E44+'TOTAL LCTCS'!E43-LCTCSBOS!E43</f>
        <v>81363</v>
      </c>
      <c r="F44" s="90">
        <f t="shared" si="1"/>
        <v>0.16079453603316957</v>
      </c>
    </row>
    <row r="45" spans="1:6" ht="91.5">
      <c r="A45" s="80" t="s">
        <v>49</v>
      </c>
      <c r="B45" s="78">
        <f>LSUE!B45+SUSBO!B45+'TOTAL LCTCS'!B44-LCTCSBOS!B44</f>
        <v>16272879.160000004</v>
      </c>
      <c r="C45" s="78">
        <f>LSUE!C45+SUSBO!C45+'TOTAL LCTCS'!C44-LCTCSBOS!C44</f>
        <v>19832869.370000005</v>
      </c>
      <c r="D45" s="78">
        <f>LSUE!D45+SUSBO!D45+'TOTAL LCTCS'!D44-LCTCSBOS!D44</f>
        <v>21450675.22</v>
      </c>
      <c r="E45" s="78">
        <f>LSUE!E45+SUSBO!E45+'TOTAL LCTCS'!E44-LCTCSBOS!E44</f>
        <v>1617805.849999994</v>
      </c>
      <c r="F45" s="90">
        <f t="shared" si="1"/>
        <v>0.08157195107870534</v>
      </c>
    </row>
    <row r="46" spans="1:6" ht="91.5">
      <c r="A46" s="80" t="s">
        <v>22</v>
      </c>
      <c r="B46" s="78">
        <f>LSUE!B46+SUSBO!B46+'TOTAL LCTCS'!B45-LCTCSBOS!B45</f>
        <v>17236802.831</v>
      </c>
      <c r="C46" s="78">
        <f>LSUE!C46+SUSBO!C46+'TOTAL LCTCS'!C45-LCTCSBOS!C45</f>
        <v>17863895.619999997</v>
      </c>
      <c r="D46" s="78">
        <f>LSUE!D46+SUSBO!D46+'TOTAL LCTCS'!D45-LCTCSBOS!D45</f>
        <v>20190744.54</v>
      </c>
      <c r="E46" s="78">
        <f>LSUE!E46+SUSBO!E46+'TOTAL LCTCS'!E45-LCTCSBOS!E45</f>
        <v>2326848.92</v>
      </c>
      <c r="F46" s="90">
        <f t="shared" si="1"/>
        <v>0.13025428324798957</v>
      </c>
    </row>
    <row r="47" spans="1:6" ht="91.5">
      <c r="A47" s="80" t="s">
        <v>23</v>
      </c>
      <c r="B47" s="78">
        <f>LSUE!B47+SUSBO!B47+'TOTAL LCTCS'!B46-LCTCSBOS!B46</f>
        <v>51891064.160000004</v>
      </c>
      <c r="C47" s="78">
        <f>LSUE!C47+SUSBO!C47+'TOTAL LCTCS'!C46-LCTCSBOS!C46</f>
        <v>55207669.849999994</v>
      </c>
      <c r="D47" s="78">
        <f>LSUE!D47+SUSBO!D47+'TOTAL LCTCS'!D46-LCTCSBOS!D46</f>
        <v>61187169.532000005</v>
      </c>
      <c r="E47" s="78">
        <f>LSUE!E47+SUSBO!E47+'TOTAL LCTCS'!E46-LCTCSBOS!E46</f>
        <v>6081117.851070009</v>
      </c>
      <c r="F47" s="90">
        <f t="shared" si="1"/>
        <v>0.11014987351562729</v>
      </c>
    </row>
    <row r="48" spans="1:6" ht="91.5">
      <c r="A48" s="80" t="s">
        <v>24</v>
      </c>
      <c r="B48" s="78">
        <f>LSUE!B48+SUSBO!B48+'TOTAL LCTCS'!B47-LCTCSBOS!B47</f>
        <v>3785928.55</v>
      </c>
      <c r="C48" s="78">
        <f>LSUE!C48+SUSBO!C48+'TOTAL LCTCS'!C47-LCTCSBOS!C47</f>
        <v>3633090.89</v>
      </c>
      <c r="D48" s="78">
        <f>LSUE!D48+SUSBO!D48+'TOTAL LCTCS'!D47-LCTCSBOS!D47</f>
        <v>2941213</v>
      </c>
      <c r="E48" s="78">
        <f>LSUE!E48+SUSBO!E48+'TOTAL LCTCS'!E47-LCTCSBOS!E47</f>
        <v>-691877.8900000001</v>
      </c>
      <c r="F48" s="90">
        <f t="shared" si="1"/>
        <v>-0.19043781478310334</v>
      </c>
    </row>
    <row r="49" spans="1:6" ht="91.5">
      <c r="A49" s="80" t="s">
        <v>25</v>
      </c>
      <c r="B49" s="78">
        <f>LSUE!B49+SUSBO!B49+'TOTAL LCTCS'!B48-LCTCSBOS!B48</f>
        <v>34775717.5</v>
      </c>
      <c r="C49" s="78">
        <f>LSUE!C49+SUSBO!C49+'TOTAL LCTCS'!C48-LCTCSBOS!C48</f>
        <v>34747714.82</v>
      </c>
      <c r="D49" s="78">
        <f>LSUE!D49+SUSBO!D49+'TOTAL LCTCS'!D48-LCTCSBOS!D48</f>
        <v>34718338.73676923</v>
      </c>
      <c r="E49" s="78">
        <f>LSUE!E49+SUSBO!E49+'TOTAL LCTCS'!E48-LCTCSBOS!E48</f>
        <v>-29376.0832307674</v>
      </c>
      <c r="F49" s="90">
        <f t="shared" si="1"/>
        <v>-0.0008454105077971686</v>
      </c>
    </row>
    <row r="50" spans="1:6" ht="90">
      <c r="A50" s="76" t="s">
        <v>26</v>
      </c>
      <c r="B50" s="74">
        <f>SUM(B42:B49)</f>
        <v>244454361.16400003</v>
      </c>
      <c r="C50" s="74">
        <f>SUM(C42:C49)</f>
        <v>261498532.64</v>
      </c>
      <c r="D50" s="74">
        <f>SUM(D42:D49)</f>
        <v>282749436.55418456</v>
      </c>
      <c r="E50" s="74">
        <f>SUM(E42:E49)</f>
        <v>21352522.083254594</v>
      </c>
      <c r="F50" s="87">
        <f t="shared" si="1"/>
        <v>0.08165446233172635</v>
      </c>
    </row>
    <row r="51" spans="1:6" ht="91.5">
      <c r="A51" s="140" t="s">
        <v>27</v>
      </c>
      <c r="B51" s="78">
        <f>LSUE!B51+SUSBO!B51+'TOTAL LCTCS'!B50-LCTCSBOS!B50</f>
        <v>0</v>
      </c>
      <c r="C51" s="78">
        <f>LSUE!C51+SUSBO!C51+'TOTAL LCTCS'!C50-LCTCSBOS!C50</f>
        <v>0</v>
      </c>
      <c r="D51" s="78">
        <f>LSUE!D51+SUSBO!D51+'TOTAL LCTCS'!D50-LCTCSBOS!D50</f>
        <v>0</v>
      </c>
      <c r="E51" s="78">
        <f>LSUE!E51+SUSBO!E51+'TOTAL LCTCS'!E50-LCTCSBOS!E50</f>
        <v>0</v>
      </c>
      <c r="F51" s="90">
        <f t="shared" si="1"/>
        <v>0</v>
      </c>
    </row>
    <row r="52" spans="1:6" ht="91.5">
      <c r="A52" s="80" t="s">
        <v>28</v>
      </c>
      <c r="B52" s="78">
        <f>LSUE!B52+SUSBO!B52+'TOTAL LCTCS'!B51-LCTCSBOS!B51</f>
        <v>1094681</v>
      </c>
      <c r="C52" s="78">
        <f>LSUE!C52+SUSBO!C52+'TOTAL LCTCS'!C51-LCTCSBOS!C51</f>
        <v>1532653</v>
      </c>
      <c r="D52" s="78">
        <f>LSUE!D52+SUSBO!D52+'TOTAL LCTCS'!D51-LCTCSBOS!D51</f>
        <v>1084704</v>
      </c>
      <c r="E52" s="78">
        <f>LSUE!E52+SUSBO!E52+'TOTAL LCTCS'!E51-LCTCSBOS!E51</f>
        <v>-447949.00000000006</v>
      </c>
      <c r="F52" s="90">
        <f t="shared" si="1"/>
        <v>-0.29227033124914775</v>
      </c>
    </row>
    <row r="53" spans="1:6" ht="91.5">
      <c r="A53" s="80" t="s">
        <v>29</v>
      </c>
      <c r="B53" s="78">
        <f>LSUE!B53+SUSBO!B53+'TOTAL LCTCS'!B52-LCTCSBOS!B52</f>
        <v>640124</v>
      </c>
      <c r="C53" s="78">
        <f>LSUE!C53+SUSBO!C53+'TOTAL LCTCS'!C52-LCTCSBOS!C52</f>
        <v>761026</v>
      </c>
      <c r="D53" s="78">
        <f>LSUE!D53+SUSBO!D53+'TOTAL LCTCS'!D52-LCTCSBOS!D52</f>
        <v>667783</v>
      </c>
      <c r="E53" s="78">
        <f>LSUE!E53+SUSBO!E53+'TOTAL LCTCS'!E52-LCTCSBOS!E52</f>
        <v>-93243</v>
      </c>
      <c r="F53" s="90">
        <f t="shared" si="1"/>
        <v>-0.1225227521792948</v>
      </c>
    </row>
    <row r="54" spans="1:6" ht="91.5">
      <c r="A54" s="80" t="s">
        <v>30</v>
      </c>
      <c r="B54" s="78">
        <f>LSUE!B54+SUSBO!B54+'TOTAL LCTCS'!B53-LCTCSBOS!B53</f>
        <v>23490691</v>
      </c>
      <c r="C54" s="78">
        <f>LSUE!C54+SUSBO!C54+'TOTAL LCTCS'!C53-LCTCSBOS!C53</f>
        <v>35518723</v>
      </c>
      <c r="D54" s="78">
        <f>LSUE!D54+SUSBO!D54+'TOTAL LCTCS'!D53-LCTCSBOS!D53</f>
        <v>35129070</v>
      </c>
      <c r="E54" s="78">
        <f>LSUE!E54+SUSBO!E54+'TOTAL LCTCS'!E53-LCTCSBOS!E53</f>
        <v>-15389653</v>
      </c>
      <c r="F54" s="90">
        <f t="shared" si="1"/>
        <v>-0.4332828350839077</v>
      </c>
    </row>
    <row r="55" spans="1:6" ht="90">
      <c r="A55" s="148" t="s">
        <v>31</v>
      </c>
      <c r="B55" s="74">
        <f>B54+B53+B52+B51+B50+7</f>
        <v>269679864.16400003</v>
      </c>
      <c r="C55" s="74">
        <f>C54+C53+C52+C51+C50+7</f>
        <v>299310941.64</v>
      </c>
      <c r="D55" s="74">
        <f>D54+D53+D52+D51+D50+7</f>
        <v>319631000.55418456</v>
      </c>
      <c r="E55" s="74">
        <f>E54+E53+E52+E51+E50+7</f>
        <v>5421684.083254594</v>
      </c>
      <c r="F55" s="161">
        <f t="shared" si="1"/>
        <v>0.0181138853579753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f>LSUE!B57+SUSBO!B57+'TOTAL LCTCS'!B56-LCTCSBOS!B56</f>
        <v>137685873.87999997</v>
      </c>
      <c r="C57" s="78">
        <f>LSUE!C57+SUSBO!C57+'TOTAL LCTCS'!C56-LCTCSBOS!C56</f>
        <v>149184213.20999998</v>
      </c>
      <c r="D57" s="78">
        <f>LSUE!D57+SUSBO!D57+'TOTAL LCTCS'!D56-LCTCSBOS!D56</f>
        <v>165730520.1293846</v>
      </c>
      <c r="E57" s="78">
        <f>LSUE!E57+SUSBO!E57+'TOTAL LCTCS'!E56-LCTCSBOS!E56</f>
        <v>16546306.919384617</v>
      </c>
      <c r="F57" s="92">
        <f aca="true" t="shared" si="2" ref="F57:F74">IF(ISERROR(E57/C57),0,(E57/C57))</f>
        <v>0.11091191596856913</v>
      </c>
    </row>
    <row r="58" spans="1:6" ht="91.5">
      <c r="A58" s="80" t="s">
        <v>34</v>
      </c>
      <c r="B58" s="78">
        <f>LSUE!B58+SUSBO!B58+'TOTAL LCTCS'!B57-LCTCSBOS!B57</f>
        <v>4793880.86</v>
      </c>
      <c r="C58" s="78">
        <f>LSUE!C58+SUSBO!C58+'TOTAL LCTCS'!C57-LCTCSBOS!C57</f>
        <v>5258568.779999999</v>
      </c>
      <c r="D58" s="78">
        <f>LSUE!D58+SUSBO!D58+'TOTAL LCTCS'!D57-LCTCSBOS!D57</f>
        <v>4711001.51</v>
      </c>
      <c r="E58" s="78">
        <f>LSUE!E58+SUSBO!E58+'TOTAL LCTCS'!E57-LCTCSBOS!E57</f>
        <v>-547567.2699999994</v>
      </c>
      <c r="F58" s="90">
        <f t="shared" si="2"/>
        <v>-0.10412857431523402</v>
      </c>
    </row>
    <row r="59" spans="1:6" ht="91.5">
      <c r="A59" s="80" t="s">
        <v>35</v>
      </c>
      <c r="B59" s="78">
        <f>LSUE!B59+SUSBO!B59+'TOTAL LCTCS'!B58-LCTCSBOS!B58</f>
        <v>42966148.763</v>
      </c>
      <c r="C59" s="78">
        <f>LSUE!C59+SUSBO!C59+'TOTAL LCTCS'!C58-LCTCSBOS!C58</f>
        <v>44579452.19</v>
      </c>
      <c r="D59" s="78">
        <f>LSUE!D59+SUSBO!D59+'TOTAL LCTCS'!D58-LCTCSBOS!D58</f>
        <v>50266900.0748</v>
      </c>
      <c r="E59" s="78">
        <f>LSUE!E59+SUSBO!E59+'TOTAL LCTCS'!E58-LCTCSBOS!E58</f>
        <v>5687447.884800002</v>
      </c>
      <c r="F59" s="90">
        <f t="shared" si="2"/>
        <v>0.127580030830343</v>
      </c>
    </row>
    <row r="60" spans="1:6" ht="90">
      <c r="A60" s="93" t="s">
        <v>36</v>
      </c>
      <c r="B60" s="96">
        <f>SUM(B57:B59)</f>
        <v>185445903.50299996</v>
      </c>
      <c r="C60" s="96">
        <f>SUM(C57:C59)</f>
        <v>199022234.17999998</v>
      </c>
      <c r="D60" s="96">
        <f>SUM(D57:D59)</f>
        <v>220708421.71418458</v>
      </c>
      <c r="E60" s="96">
        <f>SUM(E57:E59)</f>
        <v>21686187.53418462</v>
      </c>
      <c r="F60" s="97">
        <f t="shared" si="2"/>
        <v>0.10896364229622288</v>
      </c>
    </row>
    <row r="61" spans="1:6" ht="91.5">
      <c r="A61" s="80" t="s">
        <v>37</v>
      </c>
      <c r="B61" s="78">
        <f>LSUE!B61+SUSBO!B61+'TOTAL LCTCS'!B60-LCTCSBOS!B60</f>
        <v>1486885.35</v>
      </c>
      <c r="C61" s="78">
        <f>LSUE!C61+SUSBO!C61+'TOTAL LCTCS'!C60-LCTCSBOS!C60</f>
        <v>1687632.81</v>
      </c>
      <c r="D61" s="78">
        <f>LSUE!D61+SUSBO!D61+'TOTAL LCTCS'!D60-LCTCSBOS!D60</f>
        <v>1855816.3</v>
      </c>
      <c r="E61" s="78">
        <f>LSUE!E61+SUSBO!E61+'TOTAL LCTCS'!E60-LCTCSBOS!E60</f>
        <v>168183.49000000005</v>
      </c>
      <c r="F61" s="90">
        <f t="shared" si="2"/>
        <v>0.09965644718651805</v>
      </c>
    </row>
    <row r="62" spans="1:6" ht="91.5">
      <c r="A62" s="80" t="s">
        <v>38</v>
      </c>
      <c r="B62" s="78">
        <f>LSUE!B62+SUSBO!B62+'TOTAL LCTCS'!B61-LCTCSBOS!B61</f>
        <v>31126868.27</v>
      </c>
      <c r="C62" s="78">
        <f>LSUE!C62+SUSBO!C62+'TOTAL LCTCS'!C61-LCTCSBOS!C61</f>
        <v>30797895.78</v>
      </c>
      <c r="D62" s="78">
        <f>LSUE!D62+SUSBO!D62+'TOTAL LCTCS'!D61-LCTCSBOS!D61</f>
        <v>29989814.64</v>
      </c>
      <c r="E62" s="78">
        <f>LSUE!E62+SUSBO!E62+'TOTAL LCTCS'!E61-LCTCSBOS!E61</f>
        <v>-808081.1399999985</v>
      </c>
      <c r="F62" s="90">
        <f t="shared" si="2"/>
        <v>-0.026238193212042828</v>
      </c>
    </row>
    <row r="63" spans="1:6" ht="91.5">
      <c r="A63" s="80" t="s">
        <v>39</v>
      </c>
      <c r="B63" s="78">
        <f>LSUE!B63+SUSBO!B63+'TOTAL LCTCS'!B62-LCTCSBOS!B62</f>
        <v>7859316.989999999</v>
      </c>
      <c r="C63" s="78">
        <f>LSUE!C63+SUSBO!C63+'TOTAL LCTCS'!C62-LCTCSBOS!C62</f>
        <v>8994911.63</v>
      </c>
      <c r="D63" s="78">
        <f>LSUE!D63+SUSBO!D63+'TOTAL LCTCS'!D62-LCTCSBOS!D62</f>
        <v>8723807.290000001</v>
      </c>
      <c r="E63" s="78">
        <f>LSUE!E63+SUSBO!E63+'TOTAL LCTCS'!E62-LCTCSBOS!E62</f>
        <v>-271104.3399999995</v>
      </c>
      <c r="F63" s="90">
        <f t="shared" si="2"/>
        <v>-0.030139744685851847</v>
      </c>
    </row>
    <row r="64" spans="1:6" ht="90">
      <c r="A64" s="76" t="s">
        <v>40</v>
      </c>
      <c r="B64" s="83">
        <f>SUM(B61:B63)</f>
        <v>40473070.61</v>
      </c>
      <c r="C64" s="83">
        <f>SUM(C61:C63)</f>
        <v>41480440.22</v>
      </c>
      <c r="D64" s="83">
        <f>SUM(D61:D63)</f>
        <v>40569438.230000004</v>
      </c>
      <c r="E64" s="83">
        <f>SUM(E61:E63)</f>
        <v>-911001.989999998</v>
      </c>
      <c r="F64" s="87">
        <f t="shared" si="2"/>
        <v>-0.02196220640784699</v>
      </c>
    </row>
    <row r="65" spans="1:6" ht="91.5">
      <c r="A65" s="80" t="s">
        <v>41</v>
      </c>
      <c r="B65" s="78">
        <f>LSUE!B65+SUSBO!B65+'TOTAL LCTCS'!B64-LCTCSBOS!B64</f>
        <v>3228318.2800000003</v>
      </c>
      <c r="C65" s="78">
        <f>LSUE!C65+SUSBO!C65+'TOTAL LCTCS'!C64-LCTCSBOS!C64</f>
        <v>3571121.14</v>
      </c>
      <c r="D65" s="78">
        <f>LSUE!D65+SUSBO!D65+'TOTAL LCTCS'!D64-LCTCSBOS!D64</f>
        <v>3247428.27</v>
      </c>
      <c r="E65" s="78">
        <f>LSUE!E65+SUSBO!E65+'TOTAL LCTCS'!E64-LCTCSBOS!E64</f>
        <v>-323692.8700000001</v>
      </c>
      <c r="F65" s="90">
        <f t="shared" si="2"/>
        <v>-0.09064180611918421</v>
      </c>
    </row>
    <row r="66" spans="1:6" ht="91.5">
      <c r="A66" s="80" t="s">
        <v>42</v>
      </c>
      <c r="B66" s="78">
        <f>LSUE!B66+SUSBO!B66+'TOTAL LCTCS'!B65-LCTCSBOS!B65</f>
        <v>28765729.11</v>
      </c>
      <c r="C66" s="78">
        <f>LSUE!C66+SUSBO!C66+'TOTAL LCTCS'!C65-LCTCSBOS!C65</f>
        <v>43243779.36</v>
      </c>
      <c r="D66" s="78">
        <f>LSUE!D66+SUSBO!D66+'TOTAL LCTCS'!D65-LCTCSBOS!D65</f>
        <v>48230098.64</v>
      </c>
      <c r="E66" s="78">
        <f>LSUE!E66+SUSBO!E66+'TOTAL LCTCS'!E65-LCTCSBOS!E65</f>
        <v>4986319.280000001</v>
      </c>
      <c r="F66" s="90">
        <f t="shared" si="2"/>
        <v>0.1153072038058794</v>
      </c>
    </row>
    <row r="67" spans="1:6" ht="91.5">
      <c r="A67" s="80" t="s">
        <v>43</v>
      </c>
      <c r="B67" s="78">
        <f>LSUE!B67+SUSBO!B67+'TOTAL LCTCS'!B66-LCTCSBOS!B66</f>
        <v>0</v>
      </c>
      <c r="C67" s="78">
        <f>LSUE!C67+SUSBO!C67+'TOTAL LCTCS'!C66-LCTCSBOS!C66</f>
        <v>500</v>
      </c>
      <c r="D67" s="78">
        <f>LSUE!D67+SUSBO!D67+'TOTAL LCTCS'!D66-LCTCSBOS!D66</f>
        <v>0</v>
      </c>
      <c r="E67" s="78">
        <f>LSUE!E67+SUSBO!E67+'TOTAL LCTCS'!E66-LCTCSBOS!E66</f>
        <v>-500</v>
      </c>
      <c r="F67" s="90">
        <f t="shared" si="2"/>
        <v>-1</v>
      </c>
    </row>
    <row r="68" spans="1:6" ht="91.5">
      <c r="A68" s="80" t="s">
        <v>44</v>
      </c>
      <c r="B68" s="78">
        <f>LSUE!B68+SUSBO!B68+'TOTAL LCTCS'!B67-LCTCSBOS!B67</f>
        <v>4783465.599999998</v>
      </c>
      <c r="C68" s="78">
        <f>LSUE!C68+SUSBO!C68+'TOTAL LCTCS'!C67-LCTCSBOS!C67</f>
        <v>5099287.599999998</v>
      </c>
      <c r="D68" s="78">
        <f>LSUE!D68+SUSBO!D68+'TOTAL LCTCS'!D67-LCTCSBOS!D67</f>
        <v>1675022</v>
      </c>
      <c r="E68" s="78">
        <f>LSUE!E68+SUSBO!E68+'TOTAL LCTCS'!E67-LCTCSBOS!E67</f>
        <v>-3424265.5999999978</v>
      </c>
      <c r="F68" s="90">
        <f t="shared" si="2"/>
        <v>-0.671518429358642</v>
      </c>
    </row>
    <row r="69" spans="1:6" ht="90">
      <c r="A69" s="76" t="s">
        <v>45</v>
      </c>
      <c r="B69" s="85">
        <f>SUM(B65:B68)</f>
        <v>36777512.989999995</v>
      </c>
      <c r="C69" s="85">
        <f>SUM(C65:C68)</f>
        <v>51914688.099999994</v>
      </c>
      <c r="D69" s="85">
        <f>SUM(D65:D68)</f>
        <v>53152548.910000004</v>
      </c>
      <c r="E69" s="85">
        <f>SUM(E65:E68)</f>
        <v>1237860.8100000033</v>
      </c>
      <c r="F69" s="87">
        <f t="shared" si="2"/>
        <v>0.023844134585102195</v>
      </c>
    </row>
    <row r="70" spans="1:6" ht="91.5">
      <c r="A70" s="80" t="s">
        <v>57</v>
      </c>
      <c r="B70" s="78">
        <f>LSUE!B70+SUSBO!B70+'TOTAL LCTCS'!B69-LCTCSBOS!B69</f>
        <v>5729405.851000001</v>
      </c>
      <c r="C70" s="78">
        <f>LSUE!C70+SUSBO!C70+'TOTAL LCTCS'!C69-LCTCSBOS!C69</f>
        <v>5513749.649999999</v>
      </c>
      <c r="D70" s="78">
        <f>LSUE!D70+SUSBO!D70+'TOTAL LCTCS'!D69-LCTCSBOS!D69</f>
        <v>4180522.6899999995</v>
      </c>
      <c r="E70" s="78">
        <f>LSUE!E70+SUSBO!E70+'TOTAL LCTCS'!E69-LCTCSBOS!E69</f>
        <v>-1333226.9599999997</v>
      </c>
      <c r="F70" s="90">
        <f t="shared" si="2"/>
        <v>-0.24180041616506834</v>
      </c>
    </row>
    <row r="71" spans="1:6" ht="91.5">
      <c r="A71" s="80" t="s">
        <v>46</v>
      </c>
      <c r="B71" s="78">
        <f>LSUE!B71+SUSBO!B71+'TOTAL LCTCS'!B70-LCTCSBOS!B70</f>
        <v>823338.11</v>
      </c>
      <c r="C71" s="78">
        <f>LSUE!C71+SUSBO!C71+'TOTAL LCTCS'!C70-LCTCSBOS!C70</f>
        <v>868523</v>
      </c>
      <c r="D71" s="78">
        <f>LSUE!D71+SUSBO!D71+'TOTAL LCTCS'!D70-LCTCSBOS!D70</f>
        <v>765120</v>
      </c>
      <c r="E71" s="78">
        <f>LSUE!E71+SUSBO!E71+'TOTAL LCTCS'!E70-LCTCSBOS!E70</f>
        <v>-103403</v>
      </c>
      <c r="F71" s="90">
        <f t="shared" si="2"/>
        <v>-0.11905614474228086</v>
      </c>
    </row>
    <row r="72" spans="1:6" ht="91.5">
      <c r="A72" s="98" t="s">
        <v>47</v>
      </c>
      <c r="B72" s="78">
        <f>LSUE!B72+SUSBO!B72+'TOTAL LCTCS'!B71-LCTCSBOS!B71</f>
        <v>430631</v>
      </c>
      <c r="C72" s="78">
        <f>LSUE!C72+SUSBO!C72+'TOTAL LCTCS'!C71-LCTCSBOS!C71</f>
        <v>511300</v>
      </c>
      <c r="D72" s="78">
        <f>LSUE!D72+SUSBO!D72+'TOTAL LCTCS'!D71-LCTCSBOS!D71</f>
        <v>254944</v>
      </c>
      <c r="E72" s="78">
        <f>LSUE!E72+SUSBO!E72+'TOTAL LCTCS'!E71-LCTCSBOS!E71</f>
        <v>-256356</v>
      </c>
      <c r="F72" s="90">
        <f t="shared" si="2"/>
        <v>-0.5013807940543712</v>
      </c>
    </row>
    <row r="73" spans="1:6" ht="90">
      <c r="A73" s="99" t="s">
        <v>48</v>
      </c>
      <c r="B73" s="85">
        <f>SUM(B70:B72)</f>
        <v>6983374.961000001</v>
      </c>
      <c r="C73" s="85">
        <f>SUM(C70:C72)</f>
        <v>6893572.649999999</v>
      </c>
      <c r="D73" s="85">
        <f>SUM(D70:D72)</f>
        <v>5200586.6899999995</v>
      </c>
      <c r="E73" s="85">
        <f>SUM(E70:E72)</f>
        <v>-1692985.9599999997</v>
      </c>
      <c r="F73" s="95">
        <f t="shared" si="2"/>
        <v>-0.2455890502582866</v>
      </c>
    </row>
    <row r="74" spans="1:6" ht="90">
      <c r="A74" s="94" t="s">
        <v>31</v>
      </c>
      <c r="B74" s="85">
        <f>B73+B69+B64+B60+4</f>
        <v>269679866.06399995</v>
      </c>
      <c r="C74" s="85">
        <f>C73+C69+C64+C60+4</f>
        <v>299310939.15</v>
      </c>
      <c r="D74" s="85">
        <f>D73+D69+D64+D60+4</f>
        <v>319630999.54418457</v>
      </c>
      <c r="E74" s="85">
        <f>E73+E69+E64+E60+4</f>
        <v>20320064.394184627</v>
      </c>
      <c r="F74" s="95">
        <f t="shared" si="2"/>
        <v>0.06788948125949118</v>
      </c>
    </row>
    <row r="75" spans="1:6" ht="91.5">
      <c r="A75" s="50" t="s">
        <v>186</v>
      </c>
      <c r="B75" s="51"/>
      <c r="C75" s="51"/>
      <c r="D75" s="51"/>
      <c r="E75" s="51"/>
      <c r="F75" s="57"/>
    </row>
    <row r="76" spans="1:6" ht="91.5">
      <c r="A76" s="56"/>
      <c r="B76" s="51"/>
      <c r="C76" s="51"/>
      <c r="D76" s="51" t="s">
        <v>0</v>
      </c>
      <c r="E76" s="51"/>
      <c r="F76" s="100"/>
    </row>
  </sheetData>
  <sheetProtection/>
  <printOptions/>
  <pageMargins left="0.75" right="0.75" top="1" bottom="1" header="0.5" footer="0.5"/>
  <pageSetup fitToHeight="1" fitToWidth="1" horizontalDpi="600" verticalDpi="600" orientation="portrait" scale="1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35" zoomScaleNormal="35" zoomScalePageLayoutView="0" workbookViewId="0" topLeftCell="A29">
      <selection activeCell="A14" sqref="A14"/>
    </sheetView>
  </sheetViews>
  <sheetFormatPr defaultColWidth="54.10546875" defaultRowHeight="15"/>
  <cols>
    <col min="1" max="1" width="255.77734375" style="56" bestFit="1" customWidth="1"/>
    <col min="2" max="4" width="55.99609375" style="51" bestFit="1" customWidth="1"/>
    <col min="5" max="5" width="70.88671875" style="51" bestFit="1" customWidth="1"/>
    <col min="6" max="6" width="48.99609375" style="57" bestFit="1" customWidth="1"/>
    <col min="7" max="16384" width="54.105468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83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95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3829209</v>
      </c>
      <c r="C8" s="74">
        <v>3829209</v>
      </c>
      <c r="D8" s="74">
        <v>4183575</v>
      </c>
      <c r="E8" s="74">
        <f>D8-C8</f>
        <v>354366</v>
      </c>
      <c r="F8" s="75">
        <f>IF(ISERROR(E8/C8),0,(E8/C8))</f>
        <v>0.09254287243135592</v>
      </c>
    </row>
    <row r="9" spans="1:6" ht="91.5">
      <c r="A9" s="76" t="s">
        <v>60</v>
      </c>
      <c r="B9" s="74">
        <f>SUM(B10:B22)</f>
        <v>1830111</v>
      </c>
      <c r="C9" s="74">
        <f>SUM(C10:C22)</f>
        <v>1830111</v>
      </c>
      <c r="D9" s="74">
        <f>SUM(D10:D22)</f>
        <v>1813014</v>
      </c>
      <c r="E9" s="74">
        <f>D9-C9</f>
        <v>-17097</v>
      </c>
      <c r="F9" s="75">
        <f aca="true" t="shared" si="0" ref="F9:F68">IF(ISERROR(E9/C9),0,(E9/C9))</f>
        <v>-0.009342056301503024</v>
      </c>
    </row>
    <row r="10" spans="1:6" ht="91.5">
      <c r="A10" s="77" t="s">
        <v>61</v>
      </c>
      <c r="B10" s="78">
        <v>20262</v>
      </c>
      <c r="C10" s="78">
        <v>20262</v>
      </c>
      <c r="D10" s="78">
        <v>0</v>
      </c>
      <c r="E10" s="78">
        <f>D10-C10</f>
        <v>-20262</v>
      </c>
      <c r="F10" s="79">
        <f t="shared" si="0"/>
        <v>-1</v>
      </c>
    </row>
    <row r="11" spans="1:6" ht="91.5">
      <c r="A11" s="80" t="s">
        <v>62</v>
      </c>
      <c r="B11" s="78">
        <v>50000</v>
      </c>
      <c r="C11" s="78">
        <v>50000</v>
      </c>
      <c r="D11" s="78">
        <v>63014</v>
      </c>
      <c r="E11" s="78">
        <f aca="true" t="shared" si="1" ref="E11:E30">D11-C11</f>
        <v>13014</v>
      </c>
      <c r="F11" s="79">
        <f t="shared" si="0"/>
        <v>0.26028</v>
      </c>
    </row>
    <row r="12" spans="1:6" ht="91.5">
      <c r="A12" s="80" t="s">
        <v>65</v>
      </c>
      <c r="B12" s="78">
        <v>1009849</v>
      </c>
      <c r="C12" s="78">
        <v>1009849</v>
      </c>
      <c r="D12" s="78">
        <v>1000000</v>
      </c>
      <c r="E12" s="78">
        <f t="shared" si="1"/>
        <v>-9849</v>
      </c>
      <c r="F12" s="79">
        <f t="shared" si="0"/>
        <v>-0.00975294326181439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750000</v>
      </c>
      <c r="C15" s="78">
        <v>750000</v>
      </c>
      <c r="D15" s="78">
        <v>750000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 t="shared" si="1"/>
        <v>0</v>
      </c>
      <c r="F24" s="79">
        <f t="shared" si="0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1"/>
        <v>0</v>
      </c>
      <c r="F25" s="79">
        <f t="shared" si="0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0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 t="shared" si="1"/>
        <v>0</v>
      </c>
      <c r="F27" s="79">
        <f t="shared" si="0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 t="shared" si="1"/>
        <v>0</v>
      </c>
      <c r="F28" s="79">
        <f t="shared" si="0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 t="shared" si="1"/>
        <v>0</v>
      </c>
      <c r="F29" s="79">
        <f t="shared" si="0"/>
        <v>0</v>
      </c>
    </row>
    <row r="30" spans="1:6" ht="91.5">
      <c r="A30" s="76" t="s">
        <v>14</v>
      </c>
      <c r="B30" s="85">
        <f>B29+B28+B27+B25+B24+B9+B8</f>
        <v>5659320</v>
      </c>
      <c r="C30" s="86">
        <f>C29+C28+C27+C25+C24+C9+C8</f>
        <v>5659320</v>
      </c>
      <c r="D30" s="86">
        <f>D29+D28+D27+D25+D24+D9+D8</f>
        <v>5996589</v>
      </c>
      <c r="E30" s="86">
        <f t="shared" si="1"/>
        <v>337269</v>
      </c>
      <c r="F30" s="87">
        <f t="shared" si="0"/>
        <v>0.05959532240622548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188</v>
      </c>
      <c r="B32" s="74"/>
      <c r="C32" s="74">
        <v>0</v>
      </c>
      <c r="D32" s="74">
        <v>0</v>
      </c>
      <c r="E32" s="74">
        <f>D32-C32</f>
        <v>0</v>
      </c>
      <c r="F32" s="75">
        <f t="shared" si="0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 t="shared" si="0"/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0</v>
      </c>
      <c r="C36" s="74">
        <v>0</v>
      </c>
      <c r="D36" s="74">
        <v>0</v>
      </c>
      <c r="E36" s="74">
        <f>D36-C36</f>
        <v>0</v>
      </c>
      <c r="F36" s="75">
        <f t="shared" si="0"/>
        <v>0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2633034</v>
      </c>
      <c r="C38" s="74">
        <v>2856090</v>
      </c>
      <c r="D38" s="74">
        <v>3036211</v>
      </c>
      <c r="E38" s="74">
        <f>D38-C38</f>
        <v>180121</v>
      </c>
      <c r="F38" s="75">
        <f t="shared" si="0"/>
        <v>0.06306558966979332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</f>
        <v>8292354</v>
      </c>
      <c r="C40" s="120">
        <f>C38+C36+C34+C30</f>
        <v>8515410</v>
      </c>
      <c r="D40" s="120">
        <f>D38+D36+D34+D30</f>
        <v>9032800</v>
      </c>
      <c r="E40" s="120">
        <f>D40-C40</f>
        <v>517390</v>
      </c>
      <c r="F40" s="121">
        <f t="shared" si="0"/>
        <v>0.06075925880257087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0</v>
      </c>
      <c r="C42" s="78">
        <v>0</v>
      </c>
      <c r="D42" s="78">
        <v>0</v>
      </c>
      <c r="E42" s="78">
        <f>D42-C42</f>
        <v>0</v>
      </c>
      <c r="F42" s="92">
        <f t="shared" si="0"/>
        <v>0</v>
      </c>
    </row>
    <row r="43" spans="1:6" ht="91.5">
      <c r="A43" s="80" t="s">
        <v>20</v>
      </c>
      <c r="B43" s="78">
        <f>2623713+59168</f>
        <v>2682881</v>
      </c>
      <c r="C43" s="78">
        <f>2626358+50000</f>
        <v>2676358</v>
      </c>
      <c r="D43" s="78">
        <f>2807159+62224</f>
        <v>2869383</v>
      </c>
      <c r="E43" s="78">
        <f aca="true" t="shared" si="2" ref="E43:E54">D43-C43</f>
        <v>193025</v>
      </c>
      <c r="F43" s="90">
        <f t="shared" si="0"/>
        <v>0.07212226465966062</v>
      </c>
    </row>
    <row r="44" spans="1:6" ht="91.5">
      <c r="A44" s="80" t="s">
        <v>21</v>
      </c>
      <c r="B44" s="78">
        <f>2432739+1235049+385378</f>
        <v>4053166</v>
      </c>
      <c r="C44" s="78">
        <f>2948203+1196707+750000</f>
        <v>4894910</v>
      </c>
      <c r="D44" s="78">
        <f>3055113+1355492+750000</f>
        <v>5160605</v>
      </c>
      <c r="E44" s="78">
        <f t="shared" si="2"/>
        <v>265695</v>
      </c>
      <c r="F44" s="90">
        <f t="shared" si="0"/>
        <v>0.05427985397075738</v>
      </c>
    </row>
    <row r="45" spans="1:6" ht="91.5">
      <c r="A45" s="80" t="s">
        <v>49</v>
      </c>
      <c r="B45" s="78">
        <v>0</v>
      </c>
      <c r="C45" s="78">
        <v>0</v>
      </c>
      <c r="D45" s="78">
        <v>0</v>
      </c>
      <c r="E45" s="78">
        <f t="shared" si="2"/>
        <v>0</v>
      </c>
      <c r="F45" s="90">
        <f t="shared" si="0"/>
        <v>0</v>
      </c>
    </row>
    <row r="46" spans="1:6" ht="91.5">
      <c r="A46" s="80" t="s">
        <v>22</v>
      </c>
      <c r="B46" s="78">
        <v>0</v>
      </c>
      <c r="C46" s="78">
        <v>0</v>
      </c>
      <c r="D46" s="78">
        <v>0</v>
      </c>
      <c r="E46" s="78">
        <f t="shared" si="2"/>
        <v>0</v>
      </c>
      <c r="F46" s="90">
        <f t="shared" si="0"/>
        <v>0</v>
      </c>
    </row>
    <row r="47" spans="1:6" ht="91.5">
      <c r="A47" s="80" t="s">
        <v>23</v>
      </c>
      <c r="B47" s="78">
        <v>376956</v>
      </c>
      <c r="C47" s="78">
        <v>318286</v>
      </c>
      <c r="D47" s="78">
        <v>376956</v>
      </c>
      <c r="E47" s="78">
        <f t="shared" si="2"/>
        <v>58670</v>
      </c>
      <c r="F47" s="90">
        <f t="shared" si="0"/>
        <v>0.18433107331142431</v>
      </c>
    </row>
    <row r="48" spans="1:6" ht="91.5">
      <c r="A48" s="80" t="s">
        <v>24</v>
      </c>
      <c r="B48" s="78">
        <v>0</v>
      </c>
      <c r="C48" s="78">
        <v>0</v>
      </c>
      <c r="D48" s="78">
        <v>0</v>
      </c>
      <c r="E48" s="78">
        <f t="shared" si="2"/>
        <v>0</v>
      </c>
      <c r="F48" s="90">
        <f t="shared" si="0"/>
        <v>0</v>
      </c>
    </row>
    <row r="49" spans="1:6" ht="91.5">
      <c r="A49" s="80" t="s">
        <v>25</v>
      </c>
      <c r="B49" s="78">
        <v>714458</v>
      </c>
      <c r="C49" s="78">
        <v>625856</v>
      </c>
      <c r="D49" s="78">
        <v>625856</v>
      </c>
      <c r="E49" s="78">
        <f t="shared" si="2"/>
        <v>0</v>
      </c>
      <c r="F49" s="90">
        <f t="shared" si="0"/>
        <v>0</v>
      </c>
    </row>
    <row r="50" spans="1:6" ht="91.5">
      <c r="A50" s="93" t="s">
        <v>26</v>
      </c>
      <c r="B50" s="83">
        <f>SUM(B42:B49)-1</f>
        <v>7827460</v>
      </c>
      <c r="C50" s="83">
        <f>SUM(C42:C49)</f>
        <v>8515410</v>
      </c>
      <c r="D50" s="83">
        <f>SUM(D42:D49)</f>
        <v>9032800</v>
      </c>
      <c r="E50" s="83">
        <f>D50-C50</f>
        <v>517390</v>
      </c>
      <c r="F50" s="87">
        <f t="shared" si="0"/>
        <v>0.06075925880257087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2"/>
        <v>0</v>
      </c>
      <c r="F51" s="90">
        <f t="shared" si="0"/>
        <v>0</v>
      </c>
    </row>
    <row r="52" spans="1:6" ht="91.5">
      <c r="A52" s="80" t="s">
        <v>189</v>
      </c>
      <c r="B52" s="78">
        <v>464894</v>
      </c>
      <c r="C52" s="78">
        <v>0</v>
      </c>
      <c r="D52" s="78">
        <v>0</v>
      </c>
      <c r="E52" s="78">
        <f t="shared" si="2"/>
        <v>0</v>
      </c>
      <c r="F52" s="90">
        <f t="shared" si="0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 t="shared" si="2"/>
        <v>0</v>
      </c>
      <c r="F53" s="90">
        <f t="shared" si="0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 t="shared" si="2"/>
        <v>0</v>
      </c>
      <c r="F54" s="90">
        <f t="shared" si="0"/>
        <v>0</v>
      </c>
    </row>
    <row r="55" spans="1:6" ht="91.5">
      <c r="A55" s="94" t="s">
        <v>31</v>
      </c>
      <c r="B55" s="85">
        <f>B54+B53+B52+B51+B50</f>
        <v>8292354</v>
      </c>
      <c r="C55" s="85">
        <f>C54+C53+C52+C51+C50</f>
        <v>8515410</v>
      </c>
      <c r="D55" s="85">
        <f>D54+D53+D52+D51+D50</f>
        <v>9032800</v>
      </c>
      <c r="E55" s="85">
        <f>D55-C55</f>
        <v>517390</v>
      </c>
      <c r="F55" s="95">
        <f t="shared" si="0"/>
        <v>0.06075925880257087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3882681</v>
      </c>
      <c r="C57" s="78">
        <v>4862608</v>
      </c>
      <c r="D57" s="78">
        <v>5146721</v>
      </c>
      <c r="E57" s="78">
        <f>D57-C57</f>
        <v>284113</v>
      </c>
      <c r="F57" s="92">
        <f t="shared" si="0"/>
        <v>0.05842811100545222</v>
      </c>
    </row>
    <row r="58" spans="1:6" ht="91.5">
      <c r="A58" s="80" t="s">
        <v>34</v>
      </c>
      <c r="B58" s="78">
        <v>46752</v>
      </c>
      <c r="C58" s="78">
        <v>36608</v>
      </c>
      <c r="D58" s="78">
        <v>32000</v>
      </c>
      <c r="E58" s="78">
        <f>D58-C58</f>
        <v>-4608</v>
      </c>
      <c r="F58" s="90">
        <f t="shared" si="0"/>
        <v>-0.1258741258741259</v>
      </c>
    </row>
    <row r="59" spans="1:6" ht="91.5">
      <c r="A59" s="80" t="s">
        <v>35</v>
      </c>
      <c r="B59" s="78">
        <v>1071698</v>
      </c>
      <c r="C59" s="78">
        <v>1449190</v>
      </c>
      <c r="D59" s="78">
        <v>1599607</v>
      </c>
      <c r="E59" s="78">
        <f>D59-C59</f>
        <v>150417</v>
      </c>
      <c r="F59" s="90">
        <f t="shared" si="0"/>
        <v>0.10379384345737964</v>
      </c>
    </row>
    <row r="60" spans="1:6" ht="91.5">
      <c r="A60" s="93" t="s">
        <v>36</v>
      </c>
      <c r="B60" s="96">
        <f>SUM(B57:B59)</f>
        <v>5001131</v>
      </c>
      <c r="C60" s="96">
        <f>SUM(C57:C59)</f>
        <v>6348406</v>
      </c>
      <c r="D60" s="96">
        <f>SUM(D57:D59)</f>
        <v>6778328</v>
      </c>
      <c r="E60" s="96">
        <f aca="true" t="shared" si="3" ref="E60:E74">D60-C60</f>
        <v>429922</v>
      </c>
      <c r="F60" s="97">
        <f t="shared" si="0"/>
        <v>0.06772125160237073</v>
      </c>
    </row>
    <row r="61" spans="1:6" ht="91.5">
      <c r="A61" s="80" t="s">
        <v>37</v>
      </c>
      <c r="B61" s="78">
        <v>131974</v>
      </c>
      <c r="C61" s="78">
        <v>189954</v>
      </c>
      <c r="D61" s="78">
        <v>164222</v>
      </c>
      <c r="E61" s="78">
        <f t="shared" si="3"/>
        <v>-25732</v>
      </c>
      <c r="F61" s="90">
        <f t="shared" si="0"/>
        <v>-0.1354643755856681</v>
      </c>
    </row>
    <row r="62" spans="1:6" ht="91.5">
      <c r="A62" s="80" t="s">
        <v>38</v>
      </c>
      <c r="B62" s="78">
        <v>1556823</v>
      </c>
      <c r="C62" s="78">
        <v>949356</v>
      </c>
      <c r="D62" s="78">
        <v>1209509</v>
      </c>
      <c r="E62" s="78">
        <f t="shared" si="3"/>
        <v>260153</v>
      </c>
      <c r="F62" s="90">
        <f t="shared" si="0"/>
        <v>0.2740310273490661</v>
      </c>
    </row>
    <row r="63" spans="1:6" ht="91.5">
      <c r="A63" s="80" t="s">
        <v>39</v>
      </c>
      <c r="B63" s="78">
        <v>124210</v>
      </c>
      <c r="C63" s="78">
        <v>145061</v>
      </c>
      <c r="D63" s="78">
        <v>150275</v>
      </c>
      <c r="E63" s="78">
        <f t="shared" si="3"/>
        <v>5214</v>
      </c>
      <c r="F63" s="90">
        <f t="shared" si="0"/>
        <v>0.03594349963118964</v>
      </c>
    </row>
    <row r="64" spans="1:6" ht="91.5">
      <c r="A64" s="76" t="s">
        <v>40</v>
      </c>
      <c r="B64" s="83">
        <f>SUM(B61:B63)</f>
        <v>1813007</v>
      </c>
      <c r="C64" s="83">
        <f>SUM(C61:C63)</f>
        <v>1284371</v>
      </c>
      <c r="D64" s="83">
        <f>SUM(D61:D63)</f>
        <v>1524006</v>
      </c>
      <c r="E64" s="83">
        <f t="shared" si="3"/>
        <v>239635</v>
      </c>
      <c r="F64" s="87">
        <f t="shared" si="0"/>
        <v>0.18657771002303852</v>
      </c>
    </row>
    <row r="65" spans="1:6" ht="91.5">
      <c r="A65" s="80" t="s">
        <v>41</v>
      </c>
      <c r="B65" s="78">
        <v>78632</v>
      </c>
      <c r="C65" s="78">
        <v>86000</v>
      </c>
      <c r="D65" s="78">
        <v>100191</v>
      </c>
      <c r="E65" s="78">
        <f t="shared" si="3"/>
        <v>14191</v>
      </c>
      <c r="F65" s="90">
        <f t="shared" si="0"/>
        <v>0.16501162790697674</v>
      </c>
    </row>
    <row r="66" spans="1:6" ht="91.5">
      <c r="A66" s="80" t="s">
        <v>42</v>
      </c>
      <c r="B66" s="78">
        <v>815085</v>
      </c>
      <c r="C66" s="78">
        <v>604775</v>
      </c>
      <c r="D66" s="78">
        <v>415783</v>
      </c>
      <c r="E66" s="78">
        <f t="shared" si="3"/>
        <v>-188992</v>
      </c>
      <c r="F66" s="90">
        <f t="shared" si="0"/>
        <v>-0.31249968996734323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3"/>
        <v>0</v>
      </c>
      <c r="F67" s="90">
        <f t="shared" si="0"/>
        <v>0</v>
      </c>
    </row>
    <row r="68" spans="1:6" ht="91.5">
      <c r="A68" s="80" t="s">
        <v>44</v>
      </c>
      <c r="B68" s="78">
        <v>464894</v>
      </c>
      <c r="C68" s="78">
        <v>0</v>
      </c>
      <c r="D68" s="78">
        <v>0</v>
      </c>
      <c r="E68" s="78">
        <f t="shared" si="3"/>
        <v>0</v>
      </c>
      <c r="F68" s="90">
        <f t="shared" si="0"/>
        <v>0</v>
      </c>
    </row>
    <row r="69" spans="1:6" ht="91.5">
      <c r="A69" s="76" t="s">
        <v>45</v>
      </c>
      <c r="B69" s="85">
        <f>SUM(B65:B68)</f>
        <v>1358611</v>
      </c>
      <c r="C69" s="85">
        <f>SUM(C65:C68)</f>
        <v>690775</v>
      </c>
      <c r="D69" s="85">
        <f>SUM(D65:D68)</f>
        <v>515974</v>
      </c>
      <c r="E69" s="85">
        <f t="shared" si="3"/>
        <v>-174801</v>
      </c>
      <c r="F69" s="87">
        <f aca="true" t="shared" si="4" ref="F69:F74">IF(ISERROR(E69/C69),0,(E69/C69))</f>
        <v>-0.25305055915457275</v>
      </c>
    </row>
    <row r="70" spans="1:6" ht="91.5">
      <c r="A70" s="80" t="s">
        <v>57</v>
      </c>
      <c r="B70" s="78">
        <v>41159</v>
      </c>
      <c r="C70" s="78">
        <v>188858</v>
      </c>
      <c r="D70" s="78">
        <v>211492</v>
      </c>
      <c r="E70" s="78">
        <f t="shared" si="3"/>
        <v>22634</v>
      </c>
      <c r="F70" s="90">
        <f t="shared" si="4"/>
        <v>0.11984665727689586</v>
      </c>
    </row>
    <row r="71" spans="1:6" ht="91.5">
      <c r="A71" s="80" t="s">
        <v>46</v>
      </c>
      <c r="B71" s="78">
        <v>0</v>
      </c>
      <c r="C71" s="78">
        <v>3000</v>
      </c>
      <c r="D71" s="78">
        <v>3000</v>
      </c>
      <c r="E71" s="78">
        <f t="shared" si="3"/>
        <v>0</v>
      </c>
      <c r="F71" s="90">
        <f t="shared" si="4"/>
        <v>0</v>
      </c>
    </row>
    <row r="72" spans="1:6" ht="91.5">
      <c r="A72" s="98" t="s">
        <v>47</v>
      </c>
      <c r="B72" s="78">
        <v>78446</v>
      </c>
      <c r="C72" s="78">
        <v>0</v>
      </c>
      <c r="D72" s="78">
        <v>0</v>
      </c>
      <c r="E72" s="78">
        <f t="shared" si="3"/>
        <v>0</v>
      </c>
      <c r="F72" s="90">
        <f t="shared" si="4"/>
        <v>0</v>
      </c>
    </row>
    <row r="73" spans="1:6" ht="91.5">
      <c r="A73" s="99" t="s">
        <v>48</v>
      </c>
      <c r="B73" s="85">
        <f>SUM(B70:B72)</f>
        <v>119605</v>
      </c>
      <c r="C73" s="85">
        <f>SUM(C70:C72)</f>
        <v>191858</v>
      </c>
      <c r="D73" s="85">
        <f>SUM(D70:D72)</f>
        <v>214492</v>
      </c>
      <c r="E73" s="85">
        <f t="shared" si="3"/>
        <v>22634</v>
      </c>
      <c r="F73" s="95">
        <f t="shared" si="4"/>
        <v>0.11797266728517966</v>
      </c>
    </row>
    <row r="74" spans="1:6" ht="91.5">
      <c r="A74" s="94" t="s">
        <v>31</v>
      </c>
      <c r="B74" s="85">
        <f>B73+B69+B64+B60</f>
        <v>8292354</v>
      </c>
      <c r="C74" s="85">
        <f>C73+C69+C64+C60</f>
        <v>8515410</v>
      </c>
      <c r="D74" s="85">
        <f>D73+D69+D64+D60</f>
        <v>9032800</v>
      </c>
      <c r="E74" s="85">
        <f t="shared" si="3"/>
        <v>517390</v>
      </c>
      <c r="F74" s="95">
        <f t="shared" si="4"/>
        <v>0.06075925880257087</v>
      </c>
    </row>
    <row r="75" ht="91.5">
      <c r="A75" s="56" t="s">
        <v>186</v>
      </c>
    </row>
    <row r="76" spans="1:6" ht="91.5">
      <c r="A76" s="56" t="s">
        <v>0</v>
      </c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="35" zoomScaleNormal="35" zoomScalePageLayoutView="0" workbookViewId="0" topLeftCell="B28">
      <selection activeCell="A78" sqref="A78"/>
    </sheetView>
  </sheetViews>
  <sheetFormatPr defaultColWidth="63.6640625" defaultRowHeight="15"/>
  <cols>
    <col min="1" max="1" width="255.77734375" style="56" bestFit="1" customWidth="1"/>
    <col min="2" max="4" width="61.99609375" style="51" bestFit="1" customWidth="1"/>
    <col min="5" max="5" width="70.88671875" style="51" bestFit="1" customWidth="1"/>
    <col min="6" max="6" width="68.6640625" style="57" bestFit="1" customWidth="1"/>
    <col min="7" max="16384" width="63.664062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176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95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48018454</v>
      </c>
      <c r="C8" s="74">
        <v>48018454</v>
      </c>
      <c r="D8" s="74">
        <v>53058703</v>
      </c>
      <c r="E8" s="74">
        <f>D8-C8</f>
        <v>5040249</v>
      </c>
      <c r="F8" s="75">
        <f>IF(ISERROR(E8/C8),0,(E8/C8))</f>
        <v>0.10496483289528646</v>
      </c>
    </row>
    <row r="9" spans="1:6" ht="91.5">
      <c r="A9" s="76" t="s">
        <v>60</v>
      </c>
      <c r="B9" s="74">
        <f>SUM(B10:B22)</f>
        <v>2978440</v>
      </c>
      <c r="C9" s="74">
        <f>SUM(C10:C22)</f>
        <v>2978440</v>
      </c>
      <c r="D9" s="74">
        <f>SUM(D10:D22)</f>
        <v>2102787</v>
      </c>
      <c r="E9" s="74">
        <f>D9-C9</f>
        <v>-875653</v>
      </c>
      <c r="F9" s="75">
        <f aca="true" t="shared" si="0" ref="F9:F68">IF(ISERROR(E9/C9),0,(E9/C9))</f>
        <v>-0.2939971931615208</v>
      </c>
    </row>
    <row r="10" spans="1:6" ht="91.5">
      <c r="A10" s="77" t="s">
        <v>61</v>
      </c>
      <c r="B10" s="78">
        <v>1317404</v>
      </c>
      <c r="C10" s="78">
        <v>1317404</v>
      </c>
      <c r="D10" s="78">
        <v>0</v>
      </c>
      <c r="E10" s="78">
        <f>D10-C10</f>
        <v>-1317404</v>
      </c>
      <c r="F10" s="79">
        <f t="shared" si="0"/>
        <v>-1</v>
      </c>
    </row>
    <row r="11" spans="1:6" ht="91.5">
      <c r="A11" s="80" t="s">
        <v>62</v>
      </c>
      <c r="B11" s="78">
        <v>1661036</v>
      </c>
      <c r="C11" s="78">
        <v>1661036</v>
      </c>
      <c r="D11" s="78">
        <v>2102787</v>
      </c>
      <c r="E11" s="78">
        <f>D11-C11</f>
        <v>441751</v>
      </c>
      <c r="F11" s="79">
        <f t="shared" si="0"/>
        <v>0.26594908237991227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aca="true" t="shared" si="1" ref="E12:E22">D12-C12</f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 t="shared" si="0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0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0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0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0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 t="shared" si="0"/>
        <v>0</v>
      </c>
    </row>
    <row r="30" spans="1:6" ht="91.5">
      <c r="A30" s="76" t="s">
        <v>14</v>
      </c>
      <c r="B30" s="85">
        <f>B29+B28+B27+B25+B24+B9+B8</f>
        <v>50996894</v>
      </c>
      <c r="C30" s="86">
        <f>C29+C28+C27+C25+C24+C9+C8</f>
        <v>50996894</v>
      </c>
      <c r="D30" s="86">
        <f>D29+D28+D27+D25+D24+D9+D8</f>
        <v>55161490</v>
      </c>
      <c r="E30" s="86">
        <f>D30-C30</f>
        <v>4164596</v>
      </c>
      <c r="F30" s="87">
        <f t="shared" si="0"/>
        <v>0.08166371857862559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-13688</v>
      </c>
      <c r="C32" s="74">
        <v>0</v>
      </c>
      <c r="D32" s="74">
        <v>0</v>
      </c>
      <c r="E32" s="74">
        <f aca="true" t="shared" si="2" ref="E32:E40">D32-C32</f>
        <v>0</v>
      </c>
      <c r="F32" s="75">
        <f t="shared" si="0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2410606</v>
      </c>
      <c r="C34" s="74">
        <v>2415207</v>
      </c>
      <c r="D34" s="74">
        <v>2138476</v>
      </c>
      <c r="E34" s="74">
        <f t="shared" si="2"/>
        <v>-276731</v>
      </c>
      <c r="F34" s="75">
        <f t="shared" si="0"/>
        <v>-0.11457858477554926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34189210</v>
      </c>
      <c r="C36" s="74">
        <v>35448985</v>
      </c>
      <c r="D36" s="74">
        <v>35427356</v>
      </c>
      <c r="E36" s="74">
        <f t="shared" si="2"/>
        <v>-21629</v>
      </c>
      <c r="F36" s="75">
        <f t="shared" si="0"/>
        <v>-0.0006101444089301851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 t="shared" si="2"/>
        <v>0</v>
      </c>
      <c r="F38" s="75">
        <f t="shared" si="0"/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B38+B36+B34+B32+B30</f>
        <v>87583022</v>
      </c>
      <c r="C40" s="120">
        <f>C38+C36+C34+C32+C30</f>
        <v>88861086</v>
      </c>
      <c r="D40" s="120">
        <f>D38+D36+D34+D32+D30</f>
        <v>92727322</v>
      </c>
      <c r="E40" s="120">
        <f t="shared" si="2"/>
        <v>3866236</v>
      </c>
      <c r="F40" s="121">
        <f t="shared" si="0"/>
        <v>0.04350876377990699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38959569</v>
      </c>
      <c r="C42" s="78">
        <v>41600765</v>
      </c>
      <c r="D42" s="78">
        <v>43956742</v>
      </c>
      <c r="E42" s="78">
        <f>D42-C42</f>
        <v>2355977</v>
      </c>
      <c r="F42" s="92">
        <f t="shared" si="0"/>
        <v>0.05663302105141576</v>
      </c>
    </row>
    <row r="43" spans="1:6" ht="91.5">
      <c r="A43" s="80" t="s">
        <v>20</v>
      </c>
      <c r="B43" s="78">
        <v>612955</v>
      </c>
      <c r="C43" s="78">
        <v>582533</v>
      </c>
      <c r="D43" s="78">
        <v>625182</v>
      </c>
      <c r="E43" s="78">
        <f aca="true" t="shared" si="3" ref="E43:E55">D43-C43</f>
        <v>42649</v>
      </c>
      <c r="F43" s="90">
        <f t="shared" si="0"/>
        <v>0.07321301969158829</v>
      </c>
    </row>
    <row r="44" spans="1:6" ht="91.5">
      <c r="A44" s="80" t="s">
        <v>21</v>
      </c>
      <c r="B44" s="78">
        <v>342070</v>
      </c>
      <c r="C44" s="78">
        <v>552481</v>
      </c>
      <c r="D44" s="78">
        <v>517233</v>
      </c>
      <c r="E44" s="78">
        <f t="shared" si="3"/>
        <v>-35248</v>
      </c>
      <c r="F44" s="90">
        <f t="shared" si="0"/>
        <v>-0.06379947907710853</v>
      </c>
    </row>
    <row r="45" spans="1:6" ht="91.5">
      <c r="A45" s="80" t="s">
        <v>49</v>
      </c>
      <c r="B45" s="78">
        <v>9876921</v>
      </c>
      <c r="C45" s="78">
        <v>9857162</v>
      </c>
      <c r="D45" s="78">
        <v>10923236</v>
      </c>
      <c r="E45" s="78">
        <f t="shared" si="3"/>
        <v>1066074</v>
      </c>
      <c r="F45" s="90">
        <f t="shared" si="0"/>
        <v>0.10815222474785338</v>
      </c>
    </row>
    <row r="46" spans="1:6" ht="91.5">
      <c r="A46" s="80" t="s">
        <v>22</v>
      </c>
      <c r="B46" s="78">
        <v>3924428</v>
      </c>
      <c r="C46" s="78">
        <v>4436541</v>
      </c>
      <c r="D46" s="78">
        <v>4419920</v>
      </c>
      <c r="E46" s="78">
        <f t="shared" si="3"/>
        <v>-16621</v>
      </c>
      <c r="F46" s="90">
        <f t="shared" si="0"/>
        <v>-0.003746387106531868</v>
      </c>
    </row>
    <row r="47" spans="1:6" ht="91.5">
      <c r="A47" s="80" t="s">
        <v>23</v>
      </c>
      <c r="B47" s="78">
        <v>13840575</v>
      </c>
      <c r="C47" s="78">
        <v>13006646</v>
      </c>
      <c r="D47" s="78">
        <v>13851098</v>
      </c>
      <c r="E47" s="78">
        <f t="shared" si="3"/>
        <v>844452</v>
      </c>
      <c r="F47" s="90">
        <f t="shared" si="0"/>
        <v>0.06492465467269579</v>
      </c>
    </row>
    <row r="48" spans="1:6" ht="91.5">
      <c r="A48" s="80" t="s">
        <v>24</v>
      </c>
      <c r="B48" s="78">
        <v>2984520</v>
      </c>
      <c r="C48" s="78">
        <v>3267850</v>
      </c>
      <c r="D48" s="78">
        <v>3267850</v>
      </c>
      <c r="E48" s="78">
        <f t="shared" si="3"/>
        <v>0</v>
      </c>
      <c r="F48" s="90">
        <f t="shared" si="0"/>
        <v>0</v>
      </c>
    </row>
    <row r="49" spans="1:6" ht="91.5">
      <c r="A49" s="80" t="s">
        <v>25</v>
      </c>
      <c r="B49" s="78">
        <v>13639204</v>
      </c>
      <c r="C49" s="78">
        <v>13422388</v>
      </c>
      <c r="D49" s="78">
        <v>12996843</v>
      </c>
      <c r="E49" s="78">
        <f t="shared" si="3"/>
        <v>-425545</v>
      </c>
      <c r="F49" s="90">
        <f t="shared" si="0"/>
        <v>-0.031704120012027666</v>
      </c>
    </row>
    <row r="50" spans="1:6" ht="91.5">
      <c r="A50" s="93" t="s">
        <v>26</v>
      </c>
      <c r="B50" s="83">
        <f>SUM(B42:B49)</f>
        <v>84180242</v>
      </c>
      <c r="C50" s="83">
        <f>SUM(C42:C49)</f>
        <v>86726366</v>
      </c>
      <c r="D50" s="83">
        <f>SUM(D42:D49)</f>
        <v>90558104</v>
      </c>
      <c r="E50" s="83">
        <f t="shared" si="3"/>
        <v>3831738</v>
      </c>
      <c r="F50" s="87">
        <f t="shared" si="0"/>
        <v>0.044181927327613384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3"/>
        <v>0</v>
      </c>
      <c r="F51" s="90">
        <f t="shared" si="0"/>
        <v>0</v>
      </c>
    </row>
    <row r="52" spans="1:6" ht="91.5">
      <c r="A52" s="80" t="s">
        <v>28</v>
      </c>
      <c r="B52" s="78">
        <v>3062278</v>
      </c>
      <c r="C52" s="78">
        <v>1794218</v>
      </c>
      <c r="D52" s="78">
        <v>1794218</v>
      </c>
      <c r="E52" s="78">
        <f t="shared" si="3"/>
        <v>0</v>
      </c>
      <c r="F52" s="90">
        <f t="shared" si="0"/>
        <v>0</v>
      </c>
    </row>
    <row r="53" spans="1:6" ht="91.5">
      <c r="A53" s="80" t="s">
        <v>29</v>
      </c>
      <c r="B53" s="78">
        <v>340502</v>
      </c>
      <c r="C53" s="78">
        <v>340502</v>
      </c>
      <c r="D53" s="78">
        <v>375000</v>
      </c>
      <c r="E53" s="78">
        <f t="shared" si="3"/>
        <v>34498</v>
      </c>
      <c r="F53" s="90">
        <f t="shared" si="0"/>
        <v>0.10131511709182325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 t="shared" si="3"/>
        <v>0</v>
      </c>
      <c r="F54" s="90">
        <f t="shared" si="0"/>
        <v>0</v>
      </c>
    </row>
    <row r="55" spans="1:6" ht="91.5">
      <c r="A55" s="94" t="s">
        <v>31</v>
      </c>
      <c r="B55" s="85">
        <f>B54+B53+B52+B51+B50</f>
        <v>87583022</v>
      </c>
      <c r="C55" s="85">
        <f>C54+C53+C52+C51+C50</f>
        <v>88861086</v>
      </c>
      <c r="D55" s="85">
        <f>D54+D53+D52+D51+D50</f>
        <v>92727322</v>
      </c>
      <c r="E55" s="85">
        <f t="shared" si="3"/>
        <v>3866236</v>
      </c>
      <c r="F55" s="95">
        <f t="shared" si="0"/>
        <v>0.04350876377990699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48121224</v>
      </c>
      <c r="C57" s="78">
        <v>48962070</v>
      </c>
      <c r="D57" s="78">
        <v>51727539</v>
      </c>
      <c r="E57" s="78">
        <f aca="true" t="shared" si="4" ref="E57:E74">D57-C57</f>
        <v>2765469</v>
      </c>
      <c r="F57" s="92">
        <f t="shared" si="0"/>
        <v>0.05648186443097688</v>
      </c>
    </row>
    <row r="58" spans="1:6" ht="91.5">
      <c r="A58" s="80" t="s">
        <v>34</v>
      </c>
      <c r="B58" s="78">
        <v>386850</v>
      </c>
      <c r="C58" s="78">
        <v>207700</v>
      </c>
      <c r="D58" s="78">
        <v>157700</v>
      </c>
      <c r="E58" s="78">
        <f t="shared" si="4"/>
        <v>-50000</v>
      </c>
      <c r="F58" s="90">
        <f t="shared" si="0"/>
        <v>-0.2407318247472316</v>
      </c>
    </row>
    <row r="59" spans="1:6" ht="91.5">
      <c r="A59" s="80" t="s">
        <v>35</v>
      </c>
      <c r="B59" s="78">
        <v>14136273</v>
      </c>
      <c r="C59" s="78">
        <v>14316459</v>
      </c>
      <c r="D59" s="78">
        <v>16467806</v>
      </c>
      <c r="E59" s="78">
        <f t="shared" si="4"/>
        <v>2151347</v>
      </c>
      <c r="F59" s="90">
        <f t="shared" si="0"/>
        <v>0.15027088751485265</v>
      </c>
    </row>
    <row r="60" spans="1:6" ht="91.5">
      <c r="A60" s="93" t="s">
        <v>36</v>
      </c>
      <c r="B60" s="96">
        <f>SUM(B57:B59)</f>
        <v>62644347</v>
      </c>
      <c r="C60" s="96">
        <f>SUM(C57:C59)</f>
        <v>63486229</v>
      </c>
      <c r="D60" s="96">
        <f>SUM(D57:D59)</f>
        <v>68353045</v>
      </c>
      <c r="E60" s="96">
        <f t="shared" si="4"/>
        <v>4866816</v>
      </c>
      <c r="F60" s="97">
        <f t="shared" si="0"/>
        <v>0.07665939648108569</v>
      </c>
    </row>
    <row r="61" spans="1:6" ht="91.5">
      <c r="A61" s="80" t="s">
        <v>37</v>
      </c>
      <c r="B61" s="78">
        <v>348213</v>
      </c>
      <c r="C61" s="78">
        <v>590926</v>
      </c>
      <c r="D61" s="78">
        <v>538576</v>
      </c>
      <c r="E61" s="78">
        <f t="shared" si="4"/>
        <v>-52350</v>
      </c>
      <c r="F61" s="90">
        <f t="shared" si="0"/>
        <v>-0.08858977266188998</v>
      </c>
    </row>
    <row r="62" spans="1:6" ht="91.5">
      <c r="A62" s="80" t="s">
        <v>38</v>
      </c>
      <c r="B62" s="78">
        <v>10846591</v>
      </c>
      <c r="C62" s="78">
        <v>9573135</v>
      </c>
      <c r="D62" s="78">
        <v>10072471</v>
      </c>
      <c r="E62" s="78">
        <f t="shared" si="4"/>
        <v>499336</v>
      </c>
      <c r="F62" s="90">
        <f t="shared" si="0"/>
        <v>0.05216013354037105</v>
      </c>
    </row>
    <row r="63" spans="1:6" ht="91.5">
      <c r="A63" s="80" t="s">
        <v>39</v>
      </c>
      <c r="B63" s="78">
        <v>989333</v>
      </c>
      <c r="C63" s="78">
        <v>968694</v>
      </c>
      <c r="D63" s="78">
        <v>996339</v>
      </c>
      <c r="E63" s="78">
        <f t="shared" si="4"/>
        <v>27645</v>
      </c>
      <c r="F63" s="90">
        <f t="shared" si="0"/>
        <v>0.028538423898568588</v>
      </c>
    </row>
    <row r="64" spans="1:6" ht="91.5">
      <c r="A64" s="76" t="s">
        <v>40</v>
      </c>
      <c r="B64" s="83">
        <f>SUM(B61:B63)</f>
        <v>12184137</v>
      </c>
      <c r="C64" s="83">
        <f>SUM(C61:C63)</f>
        <v>11132755</v>
      </c>
      <c r="D64" s="83">
        <f>SUM(D61:D63)</f>
        <v>11607386</v>
      </c>
      <c r="E64" s="83">
        <f t="shared" si="4"/>
        <v>474631</v>
      </c>
      <c r="F64" s="87">
        <f t="shared" si="0"/>
        <v>0.042633741603044346</v>
      </c>
    </row>
    <row r="65" spans="1:6" ht="91.5">
      <c r="A65" s="80" t="s">
        <v>41</v>
      </c>
      <c r="B65" s="78">
        <v>140070</v>
      </c>
      <c r="C65" s="78">
        <v>610867</v>
      </c>
      <c r="D65" s="78">
        <v>610867</v>
      </c>
      <c r="E65" s="78">
        <f t="shared" si="4"/>
        <v>0</v>
      </c>
      <c r="F65" s="90">
        <f t="shared" si="0"/>
        <v>0</v>
      </c>
    </row>
    <row r="66" spans="1:6" ht="91.5">
      <c r="A66" s="80" t="s">
        <v>42</v>
      </c>
      <c r="B66" s="78">
        <f>11641957</f>
        <v>11641957</v>
      </c>
      <c r="C66" s="78">
        <v>11263684</v>
      </c>
      <c r="D66" s="78">
        <v>11242068</v>
      </c>
      <c r="E66" s="78">
        <f t="shared" si="4"/>
        <v>-21616</v>
      </c>
      <c r="F66" s="90">
        <f t="shared" si="0"/>
        <v>-0.0019190879289582342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4"/>
        <v>0</v>
      </c>
      <c r="F67" s="90">
        <f t="shared" si="0"/>
        <v>0</v>
      </c>
    </row>
    <row r="68" spans="1:6" ht="91.5">
      <c r="A68" s="80" t="s">
        <v>44</v>
      </c>
      <c r="B68" s="78">
        <v>0</v>
      </c>
      <c r="C68" s="78">
        <v>1513695</v>
      </c>
      <c r="D68" s="78">
        <v>0</v>
      </c>
      <c r="E68" s="78">
        <f t="shared" si="4"/>
        <v>-1513695</v>
      </c>
      <c r="F68" s="90">
        <f t="shared" si="0"/>
        <v>-1</v>
      </c>
    </row>
    <row r="69" spans="1:6" ht="91.5">
      <c r="A69" s="76" t="s">
        <v>45</v>
      </c>
      <c r="B69" s="85">
        <f>SUM(B65:B68)</f>
        <v>11782027</v>
      </c>
      <c r="C69" s="85">
        <f>SUM(C65:C68)</f>
        <v>13388246</v>
      </c>
      <c r="D69" s="85">
        <f>SUM(D65:D68)</f>
        <v>11852935</v>
      </c>
      <c r="E69" s="85">
        <f t="shared" si="4"/>
        <v>-1535311</v>
      </c>
      <c r="F69" s="87">
        <f aca="true" t="shared" si="5" ref="F69:F74">IF(ISERROR(E69/C69),0,(E69/C69))</f>
        <v>-0.1146760374734674</v>
      </c>
    </row>
    <row r="70" spans="1:6" ht="91.5">
      <c r="A70" s="80" t="s">
        <v>57</v>
      </c>
      <c r="B70" s="78">
        <v>282491</v>
      </c>
      <c r="C70" s="78">
        <v>353856</v>
      </c>
      <c r="D70" s="78">
        <v>253956</v>
      </c>
      <c r="E70" s="78">
        <f t="shared" si="4"/>
        <v>-99900</v>
      </c>
      <c r="F70" s="90">
        <f t="shared" si="5"/>
        <v>-0.2823182311448725</v>
      </c>
    </row>
    <row r="71" spans="1:6" ht="91.5">
      <c r="A71" s="80" t="s">
        <v>46</v>
      </c>
      <c r="B71" s="78">
        <v>468597</v>
      </c>
      <c r="C71" s="78">
        <v>490000</v>
      </c>
      <c r="D71" s="78">
        <v>490000</v>
      </c>
      <c r="E71" s="78">
        <f t="shared" si="4"/>
        <v>0</v>
      </c>
      <c r="F71" s="90">
        <f t="shared" si="5"/>
        <v>0</v>
      </c>
    </row>
    <row r="72" spans="1:6" ht="91.5">
      <c r="A72" s="98" t="s">
        <v>47</v>
      </c>
      <c r="B72" s="78">
        <v>221423</v>
      </c>
      <c r="C72" s="78">
        <v>10000</v>
      </c>
      <c r="D72" s="78">
        <v>170000</v>
      </c>
      <c r="E72" s="78">
        <f t="shared" si="4"/>
        <v>160000</v>
      </c>
      <c r="F72" s="90">
        <f t="shared" si="5"/>
        <v>16</v>
      </c>
    </row>
    <row r="73" spans="1:6" ht="91.5">
      <c r="A73" s="99" t="s">
        <v>48</v>
      </c>
      <c r="B73" s="85">
        <f>SUM(B70:B72)</f>
        <v>972511</v>
      </c>
      <c r="C73" s="85">
        <f>SUM(C70:C72)</f>
        <v>853856</v>
      </c>
      <c r="D73" s="85">
        <f>SUM(D70:D72)</f>
        <v>913956</v>
      </c>
      <c r="E73" s="85">
        <f t="shared" si="4"/>
        <v>60100</v>
      </c>
      <c r="F73" s="95">
        <f t="shared" si="5"/>
        <v>0.07038657572237005</v>
      </c>
    </row>
    <row r="74" spans="1:6" ht="91.5">
      <c r="A74" s="94" t="s">
        <v>31</v>
      </c>
      <c r="B74" s="85">
        <f>B73+B69+B64+B60</f>
        <v>87583022</v>
      </c>
      <c r="C74" s="85">
        <f>C73+C69+C64+C60</f>
        <v>88861086</v>
      </c>
      <c r="D74" s="85">
        <f>D73+D69+D64+D60</f>
        <v>92727322</v>
      </c>
      <c r="E74" s="85">
        <f t="shared" si="4"/>
        <v>3866236</v>
      </c>
      <c r="F74" s="95">
        <f t="shared" si="5"/>
        <v>0.04350876377990699</v>
      </c>
    </row>
    <row r="75" ht="91.5">
      <c r="A75" s="56" t="s">
        <v>186</v>
      </c>
    </row>
    <row r="76" spans="1:6" ht="91.5">
      <c r="A76" s="56" t="s">
        <v>0</v>
      </c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35" zoomScaleNormal="35" zoomScalePageLayoutView="0" workbookViewId="0" topLeftCell="A10">
      <selection activeCell="B67" sqref="B67"/>
    </sheetView>
  </sheetViews>
  <sheetFormatPr defaultColWidth="53.4453125" defaultRowHeight="15"/>
  <cols>
    <col min="1" max="1" width="255.77734375" style="56" bestFit="1" customWidth="1"/>
    <col min="2" max="2" width="55.99609375" style="51" bestFit="1" customWidth="1"/>
    <col min="3" max="3" width="59.4453125" style="51" bestFit="1" customWidth="1"/>
    <col min="4" max="4" width="61.99609375" style="51" bestFit="1" customWidth="1"/>
    <col min="5" max="5" width="70.88671875" style="51" bestFit="1" customWidth="1"/>
    <col min="6" max="6" width="49.3359375" style="57" bestFit="1" customWidth="1"/>
    <col min="7" max="16384" width="53.445312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84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177</v>
      </c>
      <c r="C5" s="67" t="s">
        <v>178</v>
      </c>
      <c r="D5" s="67" t="s">
        <v>179</v>
      </c>
      <c r="E5" s="67" t="s">
        <v>177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5664378</v>
      </c>
      <c r="C8" s="74">
        <v>5664378</v>
      </c>
      <c r="D8" s="74">
        <v>7186083</v>
      </c>
      <c r="E8" s="74">
        <f>D8-C8</f>
        <v>1521705</v>
      </c>
      <c r="F8" s="75">
        <f>IF(ISERROR(E8/C8),0,(E8/C8))</f>
        <v>0.26864467731496733</v>
      </c>
    </row>
    <row r="9" spans="1:6" ht="91.5">
      <c r="A9" s="76" t="s">
        <v>60</v>
      </c>
      <c r="B9" s="74">
        <f>SUM(B10:B22)</f>
        <v>265416</v>
      </c>
      <c r="C9" s="74">
        <f>SUM(C10:C22)</f>
        <v>265416</v>
      </c>
      <c r="D9" s="74">
        <f>SUM(D10:D22)</f>
        <v>229566</v>
      </c>
      <c r="E9" s="74">
        <f>D9-C9</f>
        <v>-35850</v>
      </c>
      <c r="F9" s="75">
        <f aca="true" t="shared" si="0" ref="F9:F68">IF(ISERROR(E9/C9),0,(E9/C9))</f>
        <v>-0.13507098290984718</v>
      </c>
    </row>
    <row r="10" spans="1:6" ht="91.5">
      <c r="A10" s="77" t="s">
        <v>61</v>
      </c>
      <c r="B10" s="78">
        <v>48161</v>
      </c>
      <c r="C10" s="78">
        <v>48161</v>
      </c>
      <c r="D10" s="78">
        <v>0</v>
      </c>
      <c r="E10" s="78">
        <f aca="true" t="shared" si="1" ref="E10:E22">D10-C10</f>
        <v>-48161</v>
      </c>
      <c r="F10" s="79">
        <f t="shared" si="0"/>
        <v>-1</v>
      </c>
    </row>
    <row r="11" spans="1:6" ht="91.5">
      <c r="A11" s="80" t="s">
        <v>62</v>
      </c>
      <c r="B11" s="78">
        <v>217255</v>
      </c>
      <c r="C11" s="78">
        <v>217255</v>
      </c>
      <c r="D11" s="78">
        <v>229566</v>
      </c>
      <c r="E11" s="78">
        <f t="shared" si="1"/>
        <v>12311</v>
      </c>
      <c r="F11" s="79">
        <f t="shared" si="0"/>
        <v>0.05666612966329889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>E24+E25</f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>D24-C24</f>
        <v>0</v>
      </c>
      <c r="F24" s="79">
        <f t="shared" si="0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0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>E27+E28</f>
        <v>0</v>
      </c>
      <c r="F26" s="75">
        <f t="shared" si="0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0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0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>D29-C29</f>
        <v>0</v>
      </c>
      <c r="F29" s="79">
        <f t="shared" si="0"/>
        <v>0</v>
      </c>
    </row>
    <row r="30" spans="1:6" ht="91.5">
      <c r="A30" s="76" t="s">
        <v>14</v>
      </c>
      <c r="B30" s="85">
        <f>B29+B28+B27+B25+B24+B9+B8</f>
        <v>5929794</v>
      </c>
      <c r="C30" s="86">
        <f>C29+C28+C27+C25+C24+C9+C8</f>
        <v>5929794</v>
      </c>
      <c r="D30" s="86">
        <f>D29+D28+D27+D25+D24+D9+D8</f>
        <v>7415649</v>
      </c>
      <c r="E30" s="86">
        <f>D30-C30</f>
        <v>1485855</v>
      </c>
      <c r="F30" s="87">
        <f t="shared" si="0"/>
        <v>0.250574471895651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-14342</v>
      </c>
      <c r="C32" s="74">
        <v>0</v>
      </c>
      <c r="D32" s="74">
        <v>0</v>
      </c>
      <c r="E32" s="74">
        <f>D32-C32</f>
        <v>0</v>
      </c>
      <c r="F32" s="75">
        <f t="shared" si="0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 t="shared" si="0"/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3253373</v>
      </c>
      <c r="C36" s="74">
        <v>3218163</v>
      </c>
      <c r="D36" s="74">
        <v>3400000</v>
      </c>
      <c r="E36" s="74">
        <f>D36-C36</f>
        <v>181837</v>
      </c>
      <c r="F36" s="75">
        <f t="shared" si="0"/>
        <v>0.056503352999832515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 t="shared" si="0"/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B38+B36+B34+B30+B32</f>
        <v>9168825</v>
      </c>
      <c r="C40" s="120">
        <f>C38+C36+C34+C30-C32</f>
        <v>9147957</v>
      </c>
      <c r="D40" s="120">
        <f>D38+D36+D34+D30-D32</f>
        <v>10815649</v>
      </c>
      <c r="E40" s="120">
        <f>D40-C40</f>
        <v>1667692</v>
      </c>
      <c r="F40" s="121">
        <f t="shared" si="0"/>
        <v>0.18230212494440015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4189119</v>
      </c>
      <c r="C42" s="78">
        <v>3915329</v>
      </c>
      <c r="D42" s="78">
        <v>5131905</v>
      </c>
      <c r="E42" s="78">
        <f aca="true" t="shared" si="2" ref="E42:E55">D42-C42</f>
        <v>1216576</v>
      </c>
      <c r="F42" s="92">
        <f t="shared" si="0"/>
        <v>0.31072127016656836</v>
      </c>
    </row>
    <row r="43" spans="1:6" ht="91.5">
      <c r="A43" s="80" t="s">
        <v>20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0"/>
        <v>0</v>
      </c>
    </row>
    <row r="44" spans="1:6" ht="91.5">
      <c r="A44" s="80" t="s">
        <v>21</v>
      </c>
      <c r="B44" s="78">
        <v>96348</v>
      </c>
      <c r="C44" s="78">
        <v>123645</v>
      </c>
      <c r="D44" s="78">
        <v>155892</v>
      </c>
      <c r="E44" s="78">
        <f t="shared" si="2"/>
        <v>32247</v>
      </c>
      <c r="F44" s="90">
        <f t="shared" si="0"/>
        <v>0.2608031056654131</v>
      </c>
    </row>
    <row r="45" spans="1:6" ht="91.5">
      <c r="A45" s="80" t="s">
        <v>49</v>
      </c>
      <c r="B45" s="78">
        <v>1498839</v>
      </c>
      <c r="C45" s="78">
        <v>1578015</v>
      </c>
      <c r="D45" s="78">
        <v>1612084</v>
      </c>
      <c r="E45" s="78">
        <f t="shared" si="2"/>
        <v>34069</v>
      </c>
      <c r="F45" s="90">
        <f t="shared" si="0"/>
        <v>0.021589782099663186</v>
      </c>
    </row>
    <row r="46" spans="1:6" ht="91.5">
      <c r="A46" s="80" t="s">
        <v>22</v>
      </c>
      <c r="B46" s="78">
        <v>900462</v>
      </c>
      <c r="C46" s="78">
        <v>941283</v>
      </c>
      <c r="D46" s="78">
        <v>1202869</v>
      </c>
      <c r="E46" s="78">
        <f t="shared" si="2"/>
        <v>261586</v>
      </c>
      <c r="F46" s="90">
        <f t="shared" si="0"/>
        <v>0.27790366977837694</v>
      </c>
    </row>
    <row r="47" spans="1:6" ht="91.5">
      <c r="A47" s="80" t="s">
        <v>23</v>
      </c>
      <c r="B47" s="78">
        <v>1784168</v>
      </c>
      <c r="C47" s="78">
        <v>1732671</v>
      </c>
      <c r="D47" s="78">
        <v>1810047</v>
      </c>
      <c r="E47" s="78">
        <f t="shared" si="2"/>
        <v>77376</v>
      </c>
      <c r="F47" s="90">
        <f t="shared" si="0"/>
        <v>0.044657064151243944</v>
      </c>
    </row>
    <row r="48" spans="1:6" ht="91.5">
      <c r="A48" s="80" t="s">
        <v>24</v>
      </c>
      <c r="B48" s="78">
        <v>95646</v>
      </c>
      <c r="C48" s="78">
        <v>237000</v>
      </c>
      <c r="D48" s="78">
        <v>250000</v>
      </c>
      <c r="E48" s="78">
        <f t="shared" si="2"/>
        <v>13000</v>
      </c>
      <c r="F48" s="90">
        <f t="shared" si="0"/>
        <v>0.05485232067510549</v>
      </c>
    </row>
    <row r="49" spans="1:6" ht="91.5">
      <c r="A49" s="80" t="s">
        <v>25</v>
      </c>
      <c r="B49" s="78">
        <v>419860</v>
      </c>
      <c r="C49" s="78">
        <v>411550</v>
      </c>
      <c r="D49" s="78">
        <v>444388</v>
      </c>
      <c r="E49" s="78">
        <f t="shared" si="2"/>
        <v>32838</v>
      </c>
      <c r="F49" s="90">
        <f t="shared" si="0"/>
        <v>0.0797910338962459</v>
      </c>
    </row>
    <row r="50" spans="1:6" ht="91.5">
      <c r="A50" s="93" t="s">
        <v>26</v>
      </c>
      <c r="B50" s="83">
        <f>SUM(B42:B49)</f>
        <v>8984442</v>
      </c>
      <c r="C50" s="83">
        <f>SUM(C42:C49)</f>
        <v>8939493</v>
      </c>
      <c r="D50" s="83">
        <f>SUM(D42:D49)</f>
        <v>10607185</v>
      </c>
      <c r="E50" s="83">
        <f t="shared" si="2"/>
        <v>1667692</v>
      </c>
      <c r="F50" s="87">
        <f>IF(ISERROR(E50/C50),0,(E50/C50))</f>
        <v>0.186553309007569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2"/>
        <v>0</v>
      </c>
      <c r="F51" s="90">
        <f t="shared" si="0"/>
        <v>0</v>
      </c>
    </row>
    <row r="52" spans="1:6" ht="91.5">
      <c r="A52" s="80" t="s">
        <v>28</v>
      </c>
      <c r="B52" s="78">
        <v>184383</v>
      </c>
      <c r="C52" s="78">
        <v>208464</v>
      </c>
      <c r="D52" s="78">
        <v>208464</v>
      </c>
      <c r="E52" s="78">
        <f t="shared" si="2"/>
        <v>0</v>
      </c>
      <c r="F52" s="90">
        <f t="shared" si="0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 t="shared" si="2"/>
        <v>0</v>
      </c>
      <c r="F53" s="90">
        <f t="shared" si="0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 t="shared" si="2"/>
        <v>0</v>
      </c>
      <c r="F54" s="90">
        <f t="shared" si="0"/>
        <v>0</v>
      </c>
    </row>
    <row r="55" spans="1:6" ht="91.5">
      <c r="A55" s="94" t="s">
        <v>31</v>
      </c>
      <c r="B55" s="85">
        <f>B54+B53+B52+B51+B50</f>
        <v>9168825</v>
      </c>
      <c r="C55" s="85">
        <f>C54+C53+C52+C51+C50</f>
        <v>9147957</v>
      </c>
      <c r="D55" s="85">
        <f>D54+D53+D52+D51+D50</f>
        <v>10815649</v>
      </c>
      <c r="E55" s="85">
        <f t="shared" si="2"/>
        <v>1667692</v>
      </c>
      <c r="F55" s="95">
        <f>IF(ISERROR(E55/C55),0,(E55/C55))</f>
        <v>0.18230212494440015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5980231</v>
      </c>
      <c r="C57" s="78">
        <v>5867493</v>
      </c>
      <c r="D57" s="78">
        <v>6683697</v>
      </c>
      <c r="E57" s="78">
        <f>D57-C57</f>
        <v>816204</v>
      </c>
      <c r="F57" s="92">
        <f t="shared" si="0"/>
        <v>0.13910608840947913</v>
      </c>
    </row>
    <row r="58" spans="1:6" ht="91.5">
      <c r="A58" s="80" t="s">
        <v>34</v>
      </c>
      <c r="B58" s="78">
        <v>0</v>
      </c>
      <c r="C58" s="78">
        <v>0</v>
      </c>
      <c r="D58" s="78">
        <v>0</v>
      </c>
      <c r="E58" s="78">
        <f>D58-C58</f>
        <v>0</v>
      </c>
      <c r="F58" s="90">
        <f t="shared" si="0"/>
        <v>0</v>
      </c>
    </row>
    <row r="59" spans="1:6" ht="91.5">
      <c r="A59" s="80" t="s">
        <v>35</v>
      </c>
      <c r="B59" s="78">
        <v>1351754</v>
      </c>
      <c r="C59" s="78">
        <v>1258100</v>
      </c>
      <c r="D59" s="78">
        <v>1889164</v>
      </c>
      <c r="E59" s="78">
        <f>D59-C59</f>
        <v>631064</v>
      </c>
      <c r="F59" s="90">
        <f t="shared" si="0"/>
        <v>0.501600826643351</v>
      </c>
    </row>
    <row r="60" spans="1:6" ht="91.5">
      <c r="A60" s="93" t="s">
        <v>36</v>
      </c>
      <c r="B60" s="96">
        <f>SUM(B57:B59)</f>
        <v>7331985</v>
      </c>
      <c r="C60" s="96">
        <f>SUM(C57:C59)</f>
        <v>7125593</v>
      </c>
      <c r="D60" s="96">
        <f>SUM(D57:D59)</f>
        <v>8572861</v>
      </c>
      <c r="E60" s="96">
        <f>D60-C60</f>
        <v>1447268</v>
      </c>
      <c r="F60" s="97">
        <f t="shared" si="0"/>
        <v>0.2031084290107504</v>
      </c>
    </row>
    <row r="61" spans="1:6" ht="91.5">
      <c r="A61" s="80" t="s">
        <v>37</v>
      </c>
      <c r="B61" s="78">
        <v>243959</v>
      </c>
      <c r="C61" s="78">
        <v>179000</v>
      </c>
      <c r="D61" s="78">
        <v>235000</v>
      </c>
      <c r="E61" s="78">
        <f>D61-C61</f>
        <v>56000</v>
      </c>
      <c r="F61" s="90">
        <f t="shared" si="0"/>
        <v>0.3128491620111732</v>
      </c>
    </row>
    <row r="62" spans="1:6" ht="91.5">
      <c r="A62" s="80" t="s">
        <v>38</v>
      </c>
      <c r="B62" s="78">
        <v>508315</v>
      </c>
      <c r="C62" s="78">
        <v>473897</v>
      </c>
      <c r="D62" s="78">
        <v>514100</v>
      </c>
      <c r="E62" s="78">
        <f aca="true" t="shared" si="3" ref="E62:E74">D62-C62</f>
        <v>40203</v>
      </c>
      <c r="F62" s="90">
        <f t="shared" si="0"/>
        <v>0.0848348902820655</v>
      </c>
    </row>
    <row r="63" spans="1:6" ht="91.5">
      <c r="A63" s="80" t="s">
        <v>39</v>
      </c>
      <c r="B63" s="78">
        <v>84374</v>
      </c>
      <c r="C63" s="78">
        <v>154500</v>
      </c>
      <c r="D63" s="78">
        <v>140000</v>
      </c>
      <c r="E63" s="78">
        <f t="shared" si="3"/>
        <v>-14500</v>
      </c>
      <c r="F63" s="90">
        <f t="shared" si="0"/>
        <v>-0.09385113268608414</v>
      </c>
    </row>
    <row r="64" spans="1:6" ht="91.5">
      <c r="A64" s="76" t="s">
        <v>40</v>
      </c>
      <c r="B64" s="83">
        <f>SUM(B61:B63)</f>
        <v>836648</v>
      </c>
      <c r="C64" s="83">
        <f>SUM(C61:C63)</f>
        <v>807397</v>
      </c>
      <c r="D64" s="83">
        <f>SUM(D61:D63)</f>
        <v>889100</v>
      </c>
      <c r="E64" s="83">
        <f t="shared" si="3"/>
        <v>81703</v>
      </c>
      <c r="F64" s="87">
        <f t="shared" si="0"/>
        <v>0.10119309336051534</v>
      </c>
    </row>
    <row r="65" spans="1:6" ht="91.5">
      <c r="A65" s="80" t="s">
        <v>41</v>
      </c>
      <c r="B65" s="78">
        <v>66119</v>
      </c>
      <c r="C65" s="78">
        <v>54200</v>
      </c>
      <c r="D65" s="78">
        <v>69000</v>
      </c>
      <c r="E65" s="78">
        <f t="shared" si="3"/>
        <v>14800</v>
      </c>
      <c r="F65" s="90">
        <f t="shared" si="0"/>
        <v>0.2730627306273063</v>
      </c>
    </row>
    <row r="66" spans="1:6" ht="91.5">
      <c r="A66" s="80" t="s">
        <v>42</v>
      </c>
      <c r="B66" s="78">
        <f>503160</f>
        <v>503160</v>
      </c>
      <c r="C66" s="78">
        <v>558703</v>
      </c>
      <c r="D66" s="78">
        <v>631224</v>
      </c>
      <c r="E66" s="78">
        <f t="shared" si="3"/>
        <v>72521</v>
      </c>
      <c r="F66" s="90">
        <f t="shared" si="0"/>
        <v>0.12980241738454956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3"/>
        <v>0</v>
      </c>
      <c r="F67" s="90">
        <f t="shared" si="0"/>
        <v>0</v>
      </c>
    </row>
    <row r="68" spans="1:6" ht="91.5">
      <c r="A68" s="80" t="s">
        <v>44</v>
      </c>
      <c r="B68" s="78">
        <v>184383</v>
      </c>
      <c r="C68" s="78">
        <v>208464</v>
      </c>
      <c r="D68" s="78">
        <v>208464</v>
      </c>
      <c r="E68" s="78">
        <f t="shared" si="3"/>
        <v>0</v>
      </c>
      <c r="F68" s="90">
        <f t="shared" si="0"/>
        <v>0</v>
      </c>
    </row>
    <row r="69" spans="1:6" ht="91.5">
      <c r="A69" s="76" t="s">
        <v>45</v>
      </c>
      <c r="B69" s="85">
        <f>SUM(B65:B68)</f>
        <v>753662</v>
      </c>
      <c r="C69" s="85">
        <f>SUM(C65:C68)</f>
        <v>821367</v>
      </c>
      <c r="D69" s="85">
        <f>SUM(D65:D68)</f>
        <v>908688</v>
      </c>
      <c r="E69" s="85">
        <f t="shared" si="3"/>
        <v>87321</v>
      </c>
      <c r="F69" s="87">
        <f aca="true" t="shared" si="4" ref="F69:F74">IF(ISERROR(E69/C69),0,(E69/C69))</f>
        <v>0.10631179484931827</v>
      </c>
    </row>
    <row r="70" spans="1:6" ht="91.5">
      <c r="A70" s="80" t="s">
        <v>57</v>
      </c>
      <c r="B70" s="78">
        <v>45807</v>
      </c>
      <c r="C70" s="78">
        <v>93600</v>
      </c>
      <c r="D70" s="78">
        <v>45000</v>
      </c>
      <c r="E70" s="78">
        <f t="shared" si="3"/>
        <v>-48600</v>
      </c>
      <c r="F70" s="90">
        <f t="shared" si="4"/>
        <v>-0.5192307692307693</v>
      </c>
    </row>
    <row r="71" spans="1:6" ht="91.5">
      <c r="A71" s="80" t="s">
        <v>46</v>
      </c>
      <c r="B71" s="78">
        <v>200723</v>
      </c>
      <c r="C71" s="78">
        <v>300000</v>
      </c>
      <c r="D71" s="78">
        <v>400000</v>
      </c>
      <c r="E71" s="78">
        <f t="shared" si="3"/>
        <v>100000</v>
      </c>
      <c r="F71" s="90">
        <f t="shared" si="4"/>
        <v>0.3333333333333333</v>
      </c>
    </row>
    <row r="72" spans="1:6" ht="91.5">
      <c r="A72" s="98" t="s">
        <v>47</v>
      </c>
      <c r="B72" s="78">
        <v>0</v>
      </c>
      <c r="C72" s="78">
        <v>0</v>
      </c>
      <c r="D72" s="78">
        <v>0</v>
      </c>
      <c r="E72" s="78">
        <f t="shared" si="3"/>
        <v>0</v>
      </c>
      <c r="F72" s="90">
        <f t="shared" si="4"/>
        <v>0</v>
      </c>
    </row>
    <row r="73" spans="1:6" ht="91.5">
      <c r="A73" s="99" t="s">
        <v>48</v>
      </c>
      <c r="B73" s="85">
        <f>SUM(B70:B72)</f>
        <v>246530</v>
      </c>
      <c r="C73" s="85">
        <f>SUM(C70:C72)</f>
        <v>393600</v>
      </c>
      <c r="D73" s="85">
        <f>SUM(D70:D72)</f>
        <v>445000</v>
      </c>
      <c r="E73" s="85">
        <f t="shared" si="3"/>
        <v>51400</v>
      </c>
      <c r="F73" s="95">
        <f t="shared" si="4"/>
        <v>0.13058943089430894</v>
      </c>
    </row>
    <row r="74" spans="1:6" ht="91.5">
      <c r="A74" s="94" t="s">
        <v>31</v>
      </c>
      <c r="B74" s="85">
        <f>B73+B69+B64+B60</f>
        <v>9168825</v>
      </c>
      <c r="C74" s="85">
        <f>C73+C69+C64+C60</f>
        <v>9147957</v>
      </c>
      <c r="D74" s="85">
        <f>D73+D69+D64+D60</f>
        <v>10815649</v>
      </c>
      <c r="E74" s="85">
        <f t="shared" si="3"/>
        <v>1667692</v>
      </c>
      <c r="F74" s="95">
        <f t="shared" si="4"/>
        <v>0.18230212494440015</v>
      </c>
    </row>
    <row r="75" ht="91.5">
      <c r="A75" s="56" t="s">
        <v>186</v>
      </c>
    </row>
    <row r="76" spans="1:6" ht="91.5">
      <c r="A76" s="56" t="s">
        <v>0</v>
      </c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="35" zoomScaleNormal="35" zoomScalePageLayoutView="0" workbookViewId="0" topLeftCell="A2">
      <selection activeCell="A78" sqref="A78"/>
    </sheetView>
  </sheetViews>
  <sheetFormatPr defaultColWidth="69.6640625" defaultRowHeight="15"/>
  <cols>
    <col min="1" max="1" width="255.77734375" style="56" bestFit="1" customWidth="1"/>
    <col min="2" max="4" width="61.99609375" style="51" bestFit="1" customWidth="1"/>
    <col min="5" max="5" width="70.88671875" style="51" bestFit="1" customWidth="1"/>
    <col min="6" max="6" width="50.88671875" style="57" bestFit="1" customWidth="1"/>
    <col min="7" max="16384" width="69.664062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85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95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14514788</v>
      </c>
      <c r="C8" s="74">
        <v>14514788</v>
      </c>
      <c r="D8" s="74">
        <v>14955755</v>
      </c>
      <c r="E8" s="74">
        <f aca="true" t="shared" si="0" ref="E8:E30">D8-C8</f>
        <v>440967</v>
      </c>
      <c r="F8" s="75">
        <f>IF(ISERROR(E8/C8),0,(E8/C8))</f>
        <v>0.030380533287844094</v>
      </c>
    </row>
    <row r="9" spans="1:6" ht="91.5">
      <c r="A9" s="76" t="s">
        <v>60</v>
      </c>
      <c r="B9" s="74">
        <f>SUM(B10:B22)</f>
        <v>706745</v>
      </c>
      <c r="C9" s="74">
        <f>SUM(C10:C22)</f>
        <v>706745</v>
      </c>
      <c r="D9" s="74">
        <f>SUM(D10:D22)</f>
        <v>1620315</v>
      </c>
      <c r="E9" s="74">
        <f t="shared" si="0"/>
        <v>913570</v>
      </c>
      <c r="F9" s="75">
        <f aca="true" t="shared" si="1" ref="F9:F68">IF(ISERROR(E9/C9),0,(E9/C9))</f>
        <v>1.2926444474315346</v>
      </c>
    </row>
    <row r="10" spans="1:6" ht="91.5">
      <c r="A10" s="77" t="s">
        <v>61</v>
      </c>
      <c r="B10" s="78">
        <v>83099</v>
      </c>
      <c r="C10" s="78">
        <v>83099</v>
      </c>
      <c r="D10" s="78">
        <v>969260</v>
      </c>
      <c r="E10" s="78">
        <f t="shared" si="0"/>
        <v>886161</v>
      </c>
      <c r="F10" s="79">
        <f t="shared" si="1"/>
        <v>10.663918940059448</v>
      </c>
    </row>
    <row r="11" spans="1:6" ht="91.5">
      <c r="A11" s="80" t="s">
        <v>62</v>
      </c>
      <c r="B11" s="78">
        <v>573646</v>
      </c>
      <c r="C11" s="78">
        <v>573646</v>
      </c>
      <c r="D11" s="78">
        <v>601055</v>
      </c>
      <c r="E11" s="78">
        <f t="shared" si="0"/>
        <v>27409</v>
      </c>
      <c r="F11" s="79">
        <f t="shared" si="1"/>
        <v>0.04778033839685102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67</v>
      </c>
      <c r="B14" s="78">
        <v>50000</v>
      </c>
      <c r="C14" s="78">
        <v>50000</v>
      </c>
      <c r="D14" s="78">
        <v>50000</v>
      </c>
      <c r="E14" s="78">
        <f t="shared" si="0"/>
        <v>0</v>
      </c>
      <c r="F14" s="79">
        <f t="shared" si="1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 t="shared" si="0"/>
        <v>0</v>
      </c>
      <c r="F23" s="75">
        <f t="shared" si="1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 t="shared" si="0"/>
        <v>0</v>
      </c>
      <c r="F24" s="79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 t="shared" si="0"/>
        <v>0</v>
      </c>
      <c r="F29" s="79">
        <f t="shared" si="1"/>
        <v>0</v>
      </c>
    </row>
    <row r="30" spans="1:6" ht="91.5">
      <c r="A30" s="76" t="s">
        <v>14</v>
      </c>
      <c r="B30" s="85">
        <f>B29+B28+B27+B25+B24+B9+B8</f>
        <v>15221533</v>
      </c>
      <c r="C30" s="86">
        <f>C29+C28+C27+C25+C24+C9+C8</f>
        <v>15221533</v>
      </c>
      <c r="D30" s="86">
        <f>D29+D28+D27+D25+D24+D9+D8</f>
        <v>16576070</v>
      </c>
      <c r="E30" s="86">
        <f t="shared" si="0"/>
        <v>1354537</v>
      </c>
      <c r="F30" s="87">
        <f t="shared" si="1"/>
        <v>0.08898821163413698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 t="shared" si="1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 t="shared" si="1"/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6640221</v>
      </c>
      <c r="C36" s="74">
        <v>6292317</v>
      </c>
      <c r="D36" s="74">
        <v>6203755</v>
      </c>
      <c r="E36" s="74">
        <f>D36-C36</f>
        <v>-88562</v>
      </c>
      <c r="F36" s="75">
        <f t="shared" si="1"/>
        <v>-0.014074624657340055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 t="shared" si="1"/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B38+B36+B34+B32+B30</f>
        <v>21861754</v>
      </c>
      <c r="C40" s="120">
        <f>C38+C36+C34+C32+C30</f>
        <v>21513850</v>
      </c>
      <c r="D40" s="120">
        <f>D38+D36+D34+D32+D30</f>
        <v>22779825</v>
      </c>
      <c r="E40" s="120">
        <f>D40-C40</f>
        <v>1265975</v>
      </c>
      <c r="F40" s="121">
        <f t="shared" si="1"/>
        <v>0.05884465123629662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5170348</v>
      </c>
      <c r="C42" s="78">
        <v>7214380</v>
      </c>
      <c r="D42" s="78">
        <v>7706488</v>
      </c>
      <c r="E42" s="78">
        <f aca="true" t="shared" si="2" ref="E42:E55">D42-C42</f>
        <v>492108</v>
      </c>
      <c r="F42" s="92">
        <f t="shared" si="1"/>
        <v>0.06821209861415672</v>
      </c>
    </row>
    <row r="43" spans="1:6" ht="91.5">
      <c r="A43" s="80" t="s">
        <v>20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1"/>
        <v>0</v>
      </c>
    </row>
    <row r="44" spans="1:6" ht="91.5">
      <c r="A44" s="80" t="s">
        <v>21</v>
      </c>
      <c r="B44" s="78">
        <v>0</v>
      </c>
      <c r="C44" s="78">
        <v>0</v>
      </c>
      <c r="D44" s="78">
        <v>0</v>
      </c>
      <c r="E44" s="78">
        <f t="shared" si="2"/>
        <v>0</v>
      </c>
      <c r="F44" s="90">
        <f t="shared" si="1"/>
        <v>0</v>
      </c>
    </row>
    <row r="45" spans="1:6" ht="91.5">
      <c r="A45" s="80" t="s">
        <v>49</v>
      </c>
      <c r="B45" s="78">
        <v>1964877</v>
      </c>
      <c r="C45" s="78">
        <v>2044105</v>
      </c>
      <c r="D45" s="78">
        <v>2887784</v>
      </c>
      <c r="E45" s="78">
        <f t="shared" si="2"/>
        <v>843679</v>
      </c>
      <c r="F45" s="90">
        <f t="shared" si="1"/>
        <v>0.4127376039880534</v>
      </c>
    </row>
    <row r="46" spans="1:6" ht="91.5">
      <c r="A46" s="80" t="s">
        <v>22</v>
      </c>
      <c r="B46" s="78">
        <v>899304</v>
      </c>
      <c r="C46" s="78">
        <v>936116</v>
      </c>
      <c r="D46" s="78">
        <v>1012953</v>
      </c>
      <c r="E46" s="78">
        <f t="shared" si="2"/>
        <v>76837</v>
      </c>
      <c r="F46" s="90">
        <f t="shared" si="1"/>
        <v>0.08208063957885561</v>
      </c>
    </row>
    <row r="47" spans="1:6" ht="91.5">
      <c r="A47" s="80" t="s">
        <v>23</v>
      </c>
      <c r="B47" s="78">
        <v>7952176</v>
      </c>
      <c r="C47" s="78">
        <v>6750754</v>
      </c>
      <c r="D47" s="78">
        <v>7718517</v>
      </c>
      <c r="E47" s="78">
        <f t="shared" si="2"/>
        <v>967763</v>
      </c>
      <c r="F47" s="90">
        <f t="shared" si="1"/>
        <v>0.14335628286855068</v>
      </c>
    </row>
    <row r="48" spans="1:6" ht="91.5">
      <c r="A48" s="80" t="s">
        <v>24</v>
      </c>
      <c r="B48" s="78">
        <v>1311895</v>
      </c>
      <c r="C48" s="78">
        <v>400000</v>
      </c>
      <c r="D48" s="78">
        <v>1000000</v>
      </c>
      <c r="E48" s="78">
        <f t="shared" si="2"/>
        <v>600000</v>
      </c>
      <c r="F48" s="90">
        <f t="shared" si="1"/>
        <v>1.5</v>
      </c>
    </row>
    <row r="49" spans="1:6" ht="91.5">
      <c r="A49" s="80" t="s">
        <v>25</v>
      </c>
      <c r="B49" s="78">
        <v>1934805</v>
      </c>
      <c r="C49" s="78">
        <v>2110767</v>
      </c>
      <c r="D49" s="78">
        <v>1987240</v>
      </c>
      <c r="E49" s="78">
        <f t="shared" si="2"/>
        <v>-123527</v>
      </c>
      <c r="F49" s="90">
        <f t="shared" si="1"/>
        <v>-0.05852232861324817</v>
      </c>
    </row>
    <row r="50" spans="1:6" ht="91.5">
      <c r="A50" s="93" t="s">
        <v>26</v>
      </c>
      <c r="B50" s="83">
        <f>SUM(B42:B49)</f>
        <v>19233405</v>
      </c>
      <c r="C50" s="83">
        <f>SUM(C42:C49)</f>
        <v>19456122</v>
      </c>
      <c r="D50" s="83">
        <f>SUM(D42:D49)</f>
        <v>22312982</v>
      </c>
      <c r="E50" s="83">
        <f t="shared" si="2"/>
        <v>2856860</v>
      </c>
      <c r="F50" s="87">
        <f t="shared" si="1"/>
        <v>0.14683604471641368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2"/>
        <v>0</v>
      </c>
      <c r="F51" s="90">
        <f t="shared" si="1"/>
        <v>0</v>
      </c>
    </row>
    <row r="52" spans="1:6" ht="91.5">
      <c r="A52" s="80" t="s">
        <v>28</v>
      </c>
      <c r="B52" s="78">
        <v>0</v>
      </c>
      <c r="C52" s="78">
        <v>817501</v>
      </c>
      <c r="D52" s="78">
        <v>0</v>
      </c>
      <c r="E52" s="78">
        <f t="shared" si="2"/>
        <v>-817501</v>
      </c>
      <c r="F52" s="90">
        <f t="shared" si="1"/>
        <v>-1</v>
      </c>
    </row>
    <row r="53" spans="1:6" ht="91.5">
      <c r="A53" s="80" t="s">
        <v>29</v>
      </c>
      <c r="B53" s="78">
        <v>275399</v>
      </c>
      <c r="C53" s="78">
        <f>581289-194011</f>
        <v>387278</v>
      </c>
      <c r="D53" s="78">
        <v>466844</v>
      </c>
      <c r="E53" s="78">
        <f t="shared" si="2"/>
        <v>79566</v>
      </c>
      <c r="F53" s="90">
        <f t="shared" si="1"/>
        <v>0.20544931547880335</v>
      </c>
    </row>
    <row r="54" spans="1:6" ht="91.5">
      <c r="A54" s="80" t="s">
        <v>30</v>
      </c>
      <c r="B54" s="78">
        <f>1500000+852949</f>
        <v>2352949</v>
      </c>
      <c r="C54" s="78">
        <f>852949</f>
        <v>852949</v>
      </c>
      <c r="D54" s="78">
        <v>0</v>
      </c>
      <c r="E54" s="78">
        <f t="shared" si="2"/>
        <v>-852949</v>
      </c>
      <c r="F54" s="90">
        <f t="shared" si="1"/>
        <v>-1</v>
      </c>
    </row>
    <row r="55" spans="1:6" ht="91.5">
      <c r="A55" s="94" t="s">
        <v>31</v>
      </c>
      <c r="B55" s="85">
        <f>B54+B53+B52+B51+B50+1</f>
        <v>21861754</v>
      </c>
      <c r="C55" s="85">
        <f>C54+C53+C52+C51+C50</f>
        <v>21513850</v>
      </c>
      <c r="D55" s="85">
        <f>D54+D53+D52+D51+D50-1</f>
        <v>22779825</v>
      </c>
      <c r="E55" s="85">
        <f t="shared" si="2"/>
        <v>1265975</v>
      </c>
      <c r="F55" s="95">
        <f t="shared" si="1"/>
        <v>0.05884465123629662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9264595</v>
      </c>
      <c r="C57" s="78">
        <v>10986203</v>
      </c>
      <c r="D57" s="78">
        <v>12165878</v>
      </c>
      <c r="E57" s="78">
        <f aca="true" t="shared" si="3" ref="E57:E74">D57-C57</f>
        <v>1179675</v>
      </c>
      <c r="F57" s="92">
        <f t="shared" si="1"/>
        <v>0.10737786294318429</v>
      </c>
    </row>
    <row r="58" spans="1:6" ht="91.5">
      <c r="A58" s="80" t="s">
        <v>34</v>
      </c>
      <c r="B58" s="78">
        <v>43219</v>
      </c>
      <c r="C58" s="78">
        <v>200000</v>
      </c>
      <c r="D58" s="78">
        <v>200000</v>
      </c>
      <c r="E58" s="78">
        <f t="shared" si="3"/>
        <v>0</v>
      </c>
      <c r="F58" s="90">
        <f t="shared" si="1"/>
        <v>0</v>
      </c>
    </row>
    <row r="59" spans="1:6" ht="91.5">
      <c r="A59" s="80" t="s">
        <v>35</v>
      </c>
      <c r="B59" s="78">
        <v>3311686</v>
      </c>
      <c r="C59" s="78">
        <v>3933000</v>
      </c>
      <c r="D59" s="78">
        <v>4796328</v>
      </c>
      <c r="E59" s="78">
        <f t="shared" si="3"/>
        <v>863328</v>
      </c>
      <c r="F59" s="90">
        <f t="shared" si="1"/>
        <v>0.21950877192982457</v>
      </c>
    </row>
    <row r="60" spans="1:6" ht="91.5">
      <c r="A60" s="93" t="s">
        <v>36</v>
      </c>
      <c r="B60" s="96">
        <f>SUM(B57:B59)</f>
        <v>12619500</v>
      </c>
      <c r="C60" s="96">
        <f>SUM(C57:C59)</f>
        <v>15119203</v>
      </c>
      <c r="D60" s="96">
        <f>SUM(D57:D59)</f>
        <v>17162206</v>
      </c>
      <c r="E60" s="96">
        <f t="shared" si="3"/>
        <v>2043003</v>
      </c>
      <c r="F60" s="97">
        <f t="shared" si="1"/>
        <v>0.13512636876427944</v>
      </c>
    </row>
    <row r="61" spans="1:6" ht="91.5">
      <c r="A61" s="80" t="s">
        <v>37</v>
      </c>
      <c r="B61" s="78">
        <v>132633</v>
      </c>
      <c r="C61" s="78">
        <v>115427</v>
      </c>
      <c r="D61" s="78">
        <v>119700</v>
      </c>
      <c r="E61" s="78">
        <f t="shared" si="3"/>
        <v>4273</v>
      </c>
      <c r="F61" s="90">
        <f t="shared" si="1"/>
        <v>0.03701906832890052</v>
      </c>
    </row>
    <row r="62" spans="1:6" ht="91.5">
      <c r="A62" s="80" t="s">
        <v>38</v>
      </c>
      <c r="B62" s="78">
        <v>3396458</v>
      </c>
      <c r="C62" s="78">
        <v>2973157</v>
      </c>
      <c r="D62" s="78">
        <v>2509395</v>
      </c>
      <c r="E62" s="78">
        <f t="shared" si="3"/>
        <v>-463762</v>
      </c>
      <c r="F62" s="90">
        <f t="shared" si="1"/>
        <v>-0.15598301737849699</v>
      </c>
    </row>
    <row r="63" spans="1:6" ht="91.5">
      <c r="A63" s="80" t="s">
        <v>39</v>
      </c>
      <c r="B63" s="78">
        <v>576034</v>
      </c>
      <c r="C63" s="78">
        <v>245642</v>
      </c>
      <c r="D63" s="78">
        <v>263585</v>
      </c>
      <c r="E63" s="78">
        <f t="shared" si="3"/>
        <v>17943</v>
      </c>
      <c r="F63" s="90">
        <f t="shared" si="1"/>
        <v>0.07304532612501119</v>
      </c>
    </row>
    <row r="64" spans="1:6" ht="91.5">
      <c r="A64" s="76" t="s">
        <v>40</v>
      </c>
      <c r="B64" s="83">
        <f>SUM(B61:B63)</f>
        <v>4105125</v>
      </c>
      <c r="C64" s="83">
        <f>SUM(C61:C63)</f>
        <v>3334226</v>
      </c>
      <c r="D64" s="83">
        <f>SUM(D61:D63)</f>
        <v>2892680</v>
      </c>
      <c r="E64" s="83">
        <f t="shared" si="3"/>
        <v>-441546</v>
      </c>
      <c r="F64" s="87">
        <f t="shared" si="1"/>
        <v>-0.13242833569170176</v>
      </c>
    </row>
    <row r="65" spans="1:6" ht="91.5">
      <c r="A65" s="80" t="s">
        <v>41</v>
      </c>
      <c r="B65" s="78">
        <v>354387</v>
      </c>
      <c r="C65" s="78">
        <v>127000</v>
      </c>
      <c r="D65" s="78">
        <v>177500</v>
      </c>
      <c r="E65" s="78">
        <f t="shared" si="3"/>
        <v>50500</v>
      </c>
      <c r="F65" s="90">
        <f t="shared" si="1"/>
        <v>0.39763779527559057</v>
      </c>
    </row>
    <row r="66" spans="1:6" ht="91.5">
      <c r="A66" s="80" t="s">
        <v>42</v>
      </c>
      <c r="B66" s="78">
        <f>2174697+1500000+852949</f>
        <v>4527646</v>
      </c>
      <c r="C66" s="78">
        <v>1740821</v>
      </c>
      <c r="D66" s="78">
        <v>2440439</v>
      </c>
      <c r="E66" s="78">
        <f t="shared" si="3"/>
        <v>699618</v>
      </c>
      <c r="F66" s="90">
        <f t="shared" si="1"/>
        <v>0.4018896830863139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3"/>
        <v>0</v>
      </c>
      <c r="F67" s="90">
        <f t="shared" si="1"/>
        <v>0</v>
      </c>
    </row>
    <row r="68" spans="1:6" ht="91.5">
      <c r="A68" s="80" t="s">
        <v>44</v>
      </c>
      <c r="B68" s="78">
        <v>0</v>
      </c>
      <c r="C68" s="78">
        <v>817501</v>
      </c>
      <c r="D68" s="78">
        <v>0</v>
      </c>
      <c r="E68" s="78">
        <f t="shared" si="3"/>
        <v>-817501</v>
      </c>
      <c r="F68" s="90">
        <f t="shared" si="1"/>
        <v>-1</v>
      </c>
    </row>
    <row r="69" spans="1:6" ht="91.5">
      <c r="A69" s="76" t="s">
        <v>45</v>
      </c>
      <c r="B69" s="85">
        <f>SUM(B65:B68)</f>
        <v>4882033</v>
      </c>
      <c r="C69" s="85">
        <f>SUM(C65:C68)</f>
        <v>2685322</v>
      </c>
      <c r="D69" s="85">
        <f>SUM(D65:D68)</f>
        <v>2617939</v>
      </c>
      <c r="E69" s="85">
        <f t="shared" si="3"/>
        <v>-67383</v>
      </c>
      <c r="F69" s="87">
        <f aca="true" t="shared" si="4" ref="F69:F74">IF(ISERROR(E69/C69),0,(E69/C69))</f>
        <v>-0.025093080084995393</v>
      </c>
    </row>
    <row r="70" spans="1:6" ht="91.5">
      <c r="A70" s="80" t="s">
        <v>57</v>
      </c>
      <c r="B70" s="78">
        <v>159204</v>
      </c>
      <c r="C70" s="78">
        <v>125099</v>
      </c>
      <c r="D70" s="78">
        <v>107000</v>
      </c>
      <c r="E70" s="78">
        <f t="shared" si="3"/>
        <v>-18099</v>
      </c>
      <c r="F70" s="90">
        <f t="shared" si="4"/>
        <v>-0.14467741548693436</v>
      </c>
    </row>
    <row r="71" spans="1:6" ht="91.5">
      <c r="A71" s="80" t="s">
        <v>46</v>
      </c>
      <c r="B71" s="78">
        <v>93968</v>
      </c>
      <c r="C71" s="78">
        <v>250000</v>
      </c>
      <c r="D71" s="78">
        <v>0</v>
      </c>
      <c r="E71" s="78">
        <f t="shared" si="3"/>
        <v>-250000</v>
      </c>
      <c r="F71" s="90">
        <f t="shared" si="4"/>
        <v>-1</v>
      </c>
    </row>
    <row r="72" spans="1:6" ht="91.5">
      <c r="A72" s="98" t="s">
        <v>47</v>
      </c>
      <c r="B72" s="78">
        <v>1921</v>
      </c>
      <c r="C72" s="78">
        <v>0</v>
      </c>
      <c r="D72" s="78">
        <v>0</v>
      </c>
      <c r="E72" s="78">
        <f t="shared" si="3"/>
        <v>0</v>
      </c>
      <c r="F72" s="90">
        <f t="shared" si="4"/>
        <v>0</v>
      </c>
    </row>
    <row r="73" spans="1:6" ht="91.5">
      <c r="A73" s="99" t="s">
        <v>48</v>
      </c>
      <c r="B73" s="85">
        <f>SUM(B70:B72)</f>
        <v>255093</v>
      </c>
      <c r="C73" s="85">
        <f>SUM(C70:C72)</f>
        <v>375099</v>
      </c>
      <c r="D73" s="85">
        <f>SUM(D70:D72)</f>
        <v>107000</v>
      </c>
      <c r="E73" s="85">
        <f t="shared" si="3"/>
        <v>-268099</v>
      </c>
      <c r="F73" s="95">
        <f t="shared" si="4"/>
        <v>-0.7147419747853233</v>
      </c>
    </row>
    <row r="74" spans="1:6" ht="91.5">
      <c r="A74" s="94" t="s">
        <v>31</v>
      </c>
      <c r="B74" s="85">
        <f>B73+B69+B64+B60+3</f>
        <v>21861754</v>
      </c>
      <c r="C74" s="85">
        <f>C73+C69+C64+C60</f>
        <v>21513850</v>
      </c>
      <c r="D74" s="85">
        <f>D73+D69+D64+D60</f>
        <v>22779825</v>
      </c>
      <c r="E74" s="85">
        <f t="shared" si="3"/>
        <v>1265975</v>
      </c>
      <c r="F74" s="95">
        <f t="shared" si="4"/>
        <v>0.05884465123629662</v>
      </c>
    </row>
    <row r="75" ht="91.5">
      <c r="A75" s="56" t="s">
        <v>186</v>
      </c>
    </row>
    <row r="76" spans="1:6" ht="91.5">
      <c r="A76" s="56" t="s">
        <v>0</v>
      </c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="35" zoomScaleNormal="35" zoomScalePageLayoutView="0" workbookViewId="0" topLeftCell="A34">
      <selection activeCell="A78" sqref="A78"/>
    </sheetView>
  </sheetViews>
  <sheetFormatPr defaultColWidth="55.99609375" defaultRowHeight="15"/>
  <cols>
    <col min="1" max="1" width="255.77734375" style="56" bestFit="1" customWidth="1"/>
    <col min="2" max="4" width="61.99609375" style="51" bestFit="1" customWidth="1"/>
    <col min="5" max="5" width="107.99609375" style="51" bestFit="1" customWidth="1"/>
    <col min="6" max="6" width="48.99609375" style="57" bestFit="1" customWidth="1"/>
    <col min="7" max="16384" width="55.99609375" style="56" customWidth="1"/>
  </cols>
  <sheetData>
    <row r="1" spans="1:6" ht="91.5">
      <c r="A1" s="50" t="s">
        <v>3</v>
      </c>
      <c r="C1" s="52"/>
      <c r="D1" s="54" t="s">
        <v>6</v>
      </c>
      <c r="E1" s="123" t="s">
        <v>86</v>
      </c>
      <c r="F1" s="56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95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6892821</v>
      </c>
      <c r="C8" s="74">
        <v>6892821</v>
      </c>
      <c r="D8" s="74">
        <v>8642321</v>
      </c>
      <c r="E8" s="74">
        <f aca="true" t="shared" si="0" ref="E8:E30">D8-C8</f>
        <v>1749500</v>
      </c>
      <c r="F8" s="75">
        <f aca="true" t="shared" si="1" ref="F8:F67">IF(ISERROR(E8/C8),0,(E8/C8))</f>
        <v>0.25381480238642495</v>
      </c>
    </row>
    <row r="9" spans="1:6" ht="91.5">
      <c r="A9" s="76" t="s">
        <v>60</v>
      </c>
      <c r="B9" s="74">
        <f>SUM(B10:B22)</f>
        <v>257338</v>
      </c>
      <c r="C9" s="74">
        <f>SUM(C10:C22)</f>
        <v>257338</v>
      </c>
      <c r="D9" s="74">
        <f>SUM(D10:D22)</f>
        <v>215120</v>
      </c>
      <c r="E9" s="74">
        <f t="shared" si="0"/>
        <v>-42218</v>
      </c>
      <c r="F9" s="75">
        <f t="shared" si="1"/>
        <v>-0.16405661037235075</v>
      </c>
    </row>
    <row r="10" spans="1:6" ht="91.5">
      <c r="A10" s="77" t="s">
        <v>61</v>
      </c>
      <c r="B10" s="78">
        <v>54297</v>
      </c>
      <c r="C10" s="78">
        <v>54297</v>
      </c>
      <c r="D10" s="78">
        <v>0</v>
      </c>
      <c r="E10" s="78">
        <f t="shared" si="0"/>
        <v>-54297</v>
      </c>
      <c r="F10" s="79">
        <f t="shared" si="1"/>
        <v>-1</v>
      </c>
    </row>
    <row r="11" spans="1:6" ht="91.5">
      <c r="A11" s="80" t="s">
        <v>62</v>
      </c>
      <c r="B11" s="78">
        <v>203041</v>
      </c>
      <c r="C11" s="78">
        <v>203041</v>
      </c>
      <c r="D11" s="78">
        <v>215120</v>
      </c>
      <c r="E11" s="78">
        <f t="shared" si="0"/>
        <v>12079</v>
      </c>
      <c r="F11" s="79">
        <f t="shared" si="1"/>
        <v>0.05949044774208165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f t="shared" si="1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 t="shared" si="0"/>
        <v>0</v>
      </c>
      <c r="F23" s="75">
        <f t="shared" si="1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 t="shared" si="0"/>
        <v>0</v>
      </c>
      <c r="F24" s="79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 t="shared" si="0"/>
        <v>0</v>
      </c>
      <c r="F29" s="79">
        <f t="shared" si="1"/>
        <v>0</v>
      </c>
    </row>
    <row r="30" spans="1:6" ht="91.5">
      <c r="A30" s="76" t="s">
        <v>14</v>
      </c>
      <c r="B30" s="85">
        <f>B29+B28+B27+B25+B24+B9+B8</f>
        <v>7150159</v>
      </c>
      <c r="C30" s="86">
        <f>C29+C28+C27+C25+C24+C9+C8</f>
        <v>7150159</v>
      </c>
      <c r="D30" s="86">
        <f>D29+D28+D27+D25+D24+D9+D8</f>
        <v>8857441</v>
      </c>
      <c r="E30" s="86">
        <f t="shared" si="0"/>
        <v>1707282</v>
      </c>
      <c r="F30" s="87">
        <f t="shared" si="1"/>
        <v>0.23877538947036003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-13428</v>
      </c>
      <c r="C32" s="74">
        <v>0</v>
      </c>
      <c r="D32" s="74">
        <v>0</v>
      </c>
      <c r="E32" s="74">
        <f>D32-C32</f>
        <v>0</v>
      </c>
      <c r="F32" s="75">
        <f t="shared" si="1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 t="shared" si="1"/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4292103</v>
      </c>
      <c r="C36" s="74">
        <v>4338531</v>
      </c>
      <c r="D36" s="74">
        <v>4550000</v>
      </c>
      <c r="E36" s="74">
        <f>D36-C36</f>
        <v>211469</v>
      </c>
      <c r="F36" s="75">
        <f t="shared" si="1"/>
        <v>0.048742074218208885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 t="shared" si="1"/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25" t="s">
        <v>17</v>
      </c>
      <c r="B40" s="74">
        <f>B38+B36+B34+B30+B32</f>
        <v>11428834</v>
      </c>
      <c r="C40" s="74">
        <f>C38+C36+C34+C30</f>
        <v>11488690</v>
      </c>
      <c r="D40" s="74">
        <f>D38+D36+D34+D30</f>
        <v>13407441</v>
      </c>
      <c r="E40" s="74">
        <f>D40-C40</f>
        <v>1918751</v>
      </c>
      <c r="F40" s="101">
        <f t="shared" si="1"/>
        <v>0.16701216587791995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4981777</v>
      </c>
      <c r="C42" s="78">
        <v>4901484</v>
      </c>
      <c r="D42" s="78">
        <v>5501834</v>
      </c>
      <c r="E42" s="78">
        <f aca="true" t="shared" si="2" ref="E42:E49">D42-C42</f>
        <v>600350</v>
      </c>
      <c r="F42" s="92">
        <f t="shared" si="1"/>
        <v>0.12248331321697674</v>
      </c>
    </row>
    <row r="43" spans="1:6" ht="91.5">
      <c r="A43" s="80" t="s">
        <v>20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1"/>
        <v>0</v>
      </c>
    </row>
    <row r="44" spans="1:6" ht="91.5">
      <c r="A44" s="80" t="s">
        <v>21</v>
      </c>
      <c r="B44" s="78">
        <v>0</v>
      </c>
      <c r="C44" s="78">
        <v>0</v>
      </c>
      <c r="D44" s="78">
        <v>0</v>
      </c>
      <c r="E44" s="78">
        <f t="shared" si="2"/>
        <v>0</v>
      </c>
      <c r="F44" s="90">
        <f t="shared" si="1"/>
        <v>0</v>
      </c>
    </row>
    <row r="45" spans="1:6" ht="91.5">
      <c r="A45" s="80" t="s">
        <v>49</v>
      </c>
      <c r="B45" s="78">
        <v>882252</v>
      </c>
      <c r="C45" s="78">
        <v>941811</v>
      </c>
      <c r="D45" s="78">
        <v>1120392</v>
      </c>
      <c r="E45" s="78">
        <f t="shared" si="2"/>
        <v>178581</v>
      </c>
      <c r="F45" s="90">
        <f t="shared" si="1"/>
        <v>0.18961447678992918</v>
      </c>
    </row>
    <row r="46" spans="1:6" ht="91.5">
      <c r="A46" s="80" t="s">
        <v>22</v>
      </c>
      <c r="B46" s="78">
        <v>768555</v>
      </c>
      <c r="C46" s="78">
        <v>617844</v>
      </c>
      <c r="D46" s="78">
        <v>872833</v>
      </c>
      <c r="E46" s="78">
        <f t="shared" si="2"/>
        <v>254989</v>
      </c>
      <c r="F46" s="90">
        <f t="shared" si="1"/>
        <v>0.41270773852299286</v>
      </c>
    </row>
    <row r="47" spans="1:6" ht="91.5">
      <c r="A47" s="80" t="s">
        <v>23</v>
      </c>
      <c r="B47" s="78">
        <f>3005189-13428</f>
        <v>2991761</v>
      </c>
      <c r="C47" s="78">
        <v>3235184</v>
      </c>
      <c r="D47" s="78">
        <v>4233708</v>
      </c>
      <c r="E47" s="78">
        <f t="shared" si="2"/>
        <v>998524</v>
      </c>
      <c r="F47" s="90">
        <f t="shared" si="1"/>
        <v>0.3086451960692189</v>
      </c>
    </row>
    <row r="48" spans="1:6" ht="91.5">
      <c r="A48" s="80" t="s">
        <v>24</v>
      </c>
      <c r="B48" s="78">
        <v>125699</v>
      </c>
      <c r="C48" s="78">
        <v>100000</v>
      </c>
      <c r="D48" s="78">
        <v>100000</v>
      </c>
      <c r="E48" s="78">
        <f t="shared" si="2"/>
        <v>0</v>
      </c>
      <c r="F48" s="90">
        <f t="shared" si="1"/>
        <v>0</v>
      </c>
    </row>
    <row r="49" spans="1:6" ht="91.5">
      <c r="A49" s="80" t="s">
        <v>25</v>
      </c>
      <c r="B49" s="78">
        <v>1678790</v>
      </c>
      <c r="C49" s="78">
        <v>1567367</v>
      </c>
      <c r="D49" s="78">
        <v>1578673</v>
      </c>
      <c r="E49" s="78">
        <f t="shared" si="2"/>
        <v>11306</v>
      </c>
      <c r="F49" s="90">
        <f t="shared" si="1"/>
        <v>0.0072133712142720885</v>
      </c>
    </row>
    <row r="50" spans="1:6" ht="91.5">
      <c r="A50" s="93" t="s">
        <v>26</v>
      </c>
      <c r="B50" s="83">
        <f>SUM(B42:B49)</f>
        <v>11428834</v>
      </c>
      <c r="C50" s="83">
        <f>SUM(C42:C49)</f>
        <v>11363690</v>
      </c>
      <c r="D50" s="83">
        <f>SUM(D42:D49)</f>
        <v>13407440</v>
      </c>
      <c r="E50" s="83">
        <f aca="true" t="shared" si="3" ref="E50:E55">D50-C50</f>
        <v>2043750</v>
      </c>
      <c r="F50" s="87">
        <f t="shared" si="1"/>
        <v>0.17984915111200675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3"/>
        <v>0</v>
      </c>
      <c r="F51" s="90">
        <f t="shared" si="1"/>
        <v>0</v>
      </c>
    </row>
    <row r="52" spans="1:6" ht="91.5">
      <c r="A52" s="80" t="s">
        <v>28</v>
      </c>
      <c r="B52" s="78">
        <v>0</v>
      </c>
      <c r="C52" s="78">
        <v>0</v>
      </c>
      <c r="D52" s="78">
        <v>0</v>
      </c>
      <c r="E52" s="78">
        <f t="shared" si="3"/>
        <v>0</v>
      </c>
      <c r="F52" s="90">
        <f t="shared" si="1"/>
        <v>0</v>
      </c>
    </row>
    <row r="53" spans="1:6" ht="91.5">
      <c r="A53" s="80" t="s">
        <v>29</v>
      </c>
      <c r="B53" s="78">
        <v>0</v>
      </c>
      <c r="C53" s="78">
        <v>125000</v>
      </c>
      <c r="D53" s="78">
        <v>0</v>
      </c>
      <c r="E53" s="78">
        <f t="shared" si="3"/>
        <v>-125000</v>
      </c>
      <c r="F53" s="90">
        <f t="shared" si="1"/>
        <v>-1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 t="shared" si="3"/>
        <v>0</v>
      </c>
      <c r="F54" s="90">
        <f t="shared" si="1"/>
        <v>0</v>
      </c>
    </row>
    <row r="55" spans="1:6" ht="91.5">
      <c r="A55" s="94" t="s">
        <v>31</v>
      </c>
      <c r="B55" s="85">
        <f>B54+B53+B52+B51+B50</f>
        <v>11428834</v>
      </c>
      <c r="C55" s="85">
        <f>C54+C53+C52+C51+C50</f>
        <v>11488690</v>
      </c>
      <c r="D55" s="85">
        <f>D54+D53+D52+D51+D50+1</f>
        <v>13407441</v>
      </c>
      <c r="E55" s="85">
        <f t="shared" si="3"/>
        <v>1918751</v>
      </c>
      <c r="F55" s="95">
        <f t="shared" si="1"/>
        <v>0.16701216587791995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v>7129254</v>
      </c>
      <c r="C57" s="78">
        <v>7160716</v>
      </c>
      <c r="D57" s="78">
        <v>7936210</v>
      </c>
      <c r="E57" s="78">
        <f>D57-C57</f>
        <v>775494</v>
      </c>
      <c r="F57" s="92">
        <f t="shared" si="1"/>
        <v>0.10829838803829114</v>
      </c>
    </row>
    <row r="58" spans="1:6" ht="91.5">
      <c r="A58" s="80" t="s">
        <v>34</v>
      </c>
      <c r="B58" s="78">
        <v>0</v>
      </c>
      <c r="C58" s="78">
        <v>0</v>
      </c>
      <c r="D58" s="78">
        <v>0</v>
      </c>
      <c r="E58" s="78">
        <f>D58-C58</f>
        <v>0</v>
      </c>
      <c r="F58" s="90">
        <f t="shared" si="1"/>
        <v>0</v>
      </c>
    </row>
    <row r="59" spans="1:6" ht="91.5">
      <c r="A59" s="80" t="s">
        <v>35</v>
      </c>
      <c r="B59" s="78">
        <v>1995415</v>
      </c>
      <c r="C59" s="78">
        <v>1873165</v>
      </c>
      <c r="D59" s="78">
        <v>2540561</v>
      </c>
      <c r="E59" s="78">
        <f>D59-C59</f>
        <v>667396</v>
      </c>
      <c r="F59" s="90">
        <f t="shared" si="1"/>
        <v>0.35629322563682325</v>
      </c>
    </row>
    <row r="60" spans="1:6" ht="91.5">
      <c r="A60" s="93" t="s">
        <v>36</v>
      </c>
      <c r="B60" s="96">
        <f>SUM(B57:B59)</f>
        <v>9124669</v>
      </c>
      <c r="C60" s="96">
        <f>SUM(C57:C59)</f>
        <v>9033881</v>
      </c>
      <c r="D60" s="96">
        <f>SUM(D57:D59)</f>
        <v>10476771</v>
      </c>
      <c r="E60" s="96">
        <f aca="true" t="shared" si="4" ref="E60:E74">D60-C60</f>
        <v>1442890</v>
      </c>
      <c r="F60" s="97">
        <f t="shared" si="1"/>
        <v>0.1597198369117326</v>
      </c>
    </row>
    <row r="61" spans="1:6" ht="91.5">
      <c r="A61" s="80" t="s">
        <v>37</v>
      </c>
      <c r="B61" s="78">
        <v>53262</v>
      </c>
      <c r="C61" s="78">
        <v>66500</v>
      </c>
      <c r="D61" s="78">
        <v>69700</v>
      </c>
      <c r="E61" s="78">
        <f t="shared" si="4"/>
        <v>3200</v>
      </c>
      <c r="F61" s="90">
        <f t="shared" si="1"/>
        <v>0.0481203007518797</v>
      </c>
    </row>
    <row r="62" spans="1:6" ht="91.5">
      <c r="A62" s="80" t="s">
        <v>38</v>
      </c>
      <c r="B62" s="78">
        <v>1524029</v>
      </c>
      <c r="C62" s="78">
        <v>1613896</v>
      </c>
      <c r="D62" s="78">
        <v>1762339</v>
      </c>
      <c r="E62" s="78">
        <f t="shared" si="4"/>
        <v>148443</v>
      </c>
      <c r="F62" s="90">
        <f t="shared" si="1"/>
        <v>0.09197804567332715</v>
      </c>
    </row>
    <row r="63" spans="1:6" ht="91.5">
      <c r="A63" s="80" t="s">
        <v>39</v>
      </c>
      <c r="B63" s="78">
        <v>114253</v>
      </c>
      <c r="C63" s="78">
        <v>100500</v>
      </c>
      <c r="D63" s="78">
        <v>110500</v>
      </c>
      <c r="E63" s="78">
        <f t="shared" si="4"/>
        <v>10000</v>
      </c>
      <c r="F63" s="90">
        <f t="shared" si="1"/>
        <v>0.09950248756218906</v>
      </c>
    </row>
    <row r="64" spans="1:6" ht="91.5">
      <c r="A64" s="76" t="s">
        <v>40</v>
      </c>
      <c r="B64" s="83">
        <f>SUM(B61:B63)</f>
        <v>1691544</v>
      </c>
      <c r="C64" s="83">
        <f>SUM(C61:C63)</f>
        <v>1780896</v>
      </c>
      <c r="D64" s="83">
        <f>SUM(D61:D63)</f>
        <v>1942539</v>
      </c>
      <c r="E64" s="83">
        <f t="shared" si="4"/>
        <v>161643</v>
      </c>
      <c r="F64" s="87">
        <f t="shared" si="1"/>
        <v>0.0907649857150558</v>
      </c>
    </row>
    <row r="65" spans="1:6" ht="91.5">
      <c r="A65" s="80" t="s">
        <v>41</v>
      </c>
      <c r="B65" s="78">
        <v>41373</v>
      </c>
      <c r="C65" s="78">
        <v>44733</v>
      </c>
      <c r="D65" s="78">
        <v>44733</v>
      </c>
      <c r="E65" s="78">
        <f t="shared" si="4"/>
        <v>0</v>
      </c>
      <c r="F65" s="90">
        <f t="shared" si="1"/>
        <v>0</v>
      </c>
    </row>
    <row r="66" spans="1:6" ht="91.5">
      <c r="A66" s="80" t="s">
        <v>42</v>
      </c>
      <c r="B66" s="78">
        <v>430880</v>
      </c>
      <c r="C66" s="78">
        <v>530632</v>
      </c>
      <c r="D66" s="78">
        <v>844850</v>
      </c>
      <c r="E66" s="78">
        <f t="shared" si="4"/>
        <v>314218</v>
      </c>
      <c r="F66" s="90">
        <f t="shared" si="1"/>
        <v>0.5921580304240981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4"/>
        <v>0</v>
      </c>
      <c r="F67" s="90">
        <f t="shared" si="1"/>
        <v>0</v>
      </c>
    </row>
    <row r="68" spans="1:6" ht="91.5">
      <c r="A68" s="80" t="s">
        <v>44</v>
      </c>
      <c r="B68" s="78">
        <v>0</v>
      </c>
      <c r="C68" s="78">
        <v>0</v>
      </c>
      <c r="D68" s="78">
        <v>0</v>
      </c>
      <c r="E68" s="78">
        <f t="shared" si="4"/>
        <v>0</v>
      </c>
      <c r="F68" s="90">
        <f aca="true" t="shared" si="5" ref="F68:F74">IF(ISERROR(E68/C68),0,(E68/C68))</f>
        <v>0</v>
      </c>
    </row>
    <row r="69" spans="1:6" ht="91.5">
      <c r="A69" s="76" t="s">
        <v>45</v>
      </c>
      <c r="B69" s="85">
        <f>SUM(B65:B68)</f>
        <v>472253</v>
      </c>
      <c r="C69" s="85">
        <f>SUM(C65:C68)</f>
        <v>575365</v>
      </c>
      <c r="D69" s="85">
        <f>SUM(D65:D68)</f>
        <v>889583</v>
      </c>
      <c r="E69" s="85">
        <f t="shared" si="4"/>
        <v>314218</v>
      </c>
      <c r="F69" s="87">
        <f t="shared" si="5"/>
        <v>0.5461194198465322</v>
      </c>
    </row>
    <row r="70" spans="1:6" ht="91.5">
      <c r="A70" s="80" t="s">
        <v>57</v>
      </c>
      <c r="B70" s="78">
        <v>64799</v>
      </c>
      <c r="C70" s="78">
        <v>44251</v>
      </c>
      <c r="D70" s="78">
        <v>44251</v>
      </c>
      <c r="E70" s="78">
        <f t="shared" si="4"/>
        <v>0</v>
      </c>
      <c r="F70" s="90">
        <f t="shared" si="5"/>
        <v>0</v>
      </c>
    </row>
    <row r="71" spans="1:6" ht="91.5">
      <c r="A71" s="80" t="s">
        <v>46</v>
      </c>
      <c r="B71" s="78">
        <v>52205</v>
      </c>
      <c r="C71" s="78">
        <v>54297</v>
      </c>
      <c r="D71" s="78">
        <v>54297</v>
      </c>
      <c r="E71" s="78">
        <f t="shared" si="4"/>
        <v>0</v>
      </c>
      <c r="F71" s="90">
        <f t="shared" si="5"/>
        <v>0</v>
      </c>
    </row>
    <row r="72" spans="1:6" ht="91.5">
      <c r="A72" s="98" t="s">
        <v>47</v>
      </c>
      <c r="B72" s="78">
        <v>23364</v>
      </c>
      <c r="C72" s="78">
        <v>0</v>
      </c>
      <c r="D72" s="78">
        <v>0</v>
      </c>
      <c r="E72" s="78">
        <f t="shared" si="4"/>
        <v>0</v>
      </c>
      <c r="F72" s="90">
        <f t="shared" si="5"/>
        <v>0</v>
      </c>
    </row>
    <row r="73" spans="1:6" ht="91.5">
      <c r="A73" s="99" t="s">
        <v>48</v>
      </c>
      <c r="B73" s="85">
        <f>SUM(B70:B72)</f>
        <v>140368</v>
      </c>
      <c r="C73" s="85">
        <f>SUM(C70:C72)</f>
        <v>98548</v>
      </c>
      <c r="D73" s="85">
        <f>SUM(D70:D72)</f>
        <v>98548</v>
      </c>
      <c r="E73" s="85">
        <f t="shared" si="4"/>
        <v>0</v>
      </c>
      <c r="F73" s="95">
        <f t="shared" si="5"/>
        <v>0</v>
      </c>
    </row>
    <row r="74" spans="1:6" ht="91.5">
      <c r="A74" s="94" t="s">
        <v>31</v>
      </c>
      <c r="B74" s="85">
        <f>B73+B69+B64+B60</f>
        <v>11428834</v>
      </c>
      <c r="C74" s="85">
        <f>C73+C69+C64+C60</f>
        <v>11488690</v>
      </c>
      <c r="D74" s="85">
        <f>D73+D69+D64+D60</f>
        <v>13407441</v>
      </c>
      <c r="E74" s="85">
        <f t="shared" si="4"/>
        <v>1918751</v>
      </c>
      <c r="F74" s="95">
        <f t="shared" si="5"/>
        <v>0.16701216587791995</v>
      </c>
    </row>
    <row r="75" ht="91.5">
      <c r="A75" s="56" t="s">
        <v>186</v>
      </c>
    </row>
    <row r="76" spans="1:6" ht="91.5">
      <c r="A76" s="56" t="s">
        <v>0</v>
      </c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35" zoomScaleNormal="35" zoomScalePageLayoutView="0" workbookViewId="0" topLeftCell="A40">
      <selection activeCell="B6" sqref="B6"/>
    </sheetView>
  </sheetViews>
  <sheetFormatPr defaultColWidth="50.3359375" defaultRowHeight="15"/>
  <cols>
    <col min="1" max="1" width="255.77734375" style="56" bestFit="1" customWidth="1"/>
    <col min="2" max="4" width="55.99609375" style="51" bestFit="1" customWidth="1"/>
    <col min="5" max="5" width="70.88671875" style="51" bestFit="1" customWidth="1"/>
    <col min="6" max="6" width="75.6640625" style="57" bestFit="1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87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f>3365326+179037</f>
        <v>3544363</v>
      </c>
      <c r="C8" s="74">
        <f>3365326+179037</f>
        <v>3544363</v>
      </c>
      <c r="D8" s="74">
        <f>3427281+250354</f>
        <v>3677635</v>
      </c>
      <c r="E8" s="74">
        <f>D8-C8</f>
        <v>133272</v>
      </c>
      <c r="F8" s="75">
        <f>IF(ISERROR(E8/C8),0,(E8/C8))</f>
        <v>0.037601114784236264</v>
      </c>
    </row>
    <row r="9" spans="1:6" ht="91.5">
      <c r="A9" s="76" t="s">
        <v>60</v>
      </c>
      <c r="B9" s="74">
        <f>SUM(B10:B22)</f>
        <v>0</v>
      </c>
      <c r="C9" s="74">
        <f>SUM(C10:C22)</f>
        <v>0</v>
      </c>
      <c r="D9" s="74">
        <f>SUM(D10:D22)</f>
        <v>0</v>
      </c>
      <c r="E9" s="74">
        <f>D9-C9</f>
        <v>0</v>
      </c>
      <c r="F9" s="75">
        <f aca="true" t="shared" si="0" ref="F9:F68">IF(ISERROR(E9/C9),0,(E9/C9))</f>
        <v>0</v>
      </c>
    </row>
    <row r="10" spans="1:6" ht="91.5">
      <c r="A10" s="77" t="s">
        <v>61</v>
      </c>
      <c r="B10" s="78">
        <v>0</v>
      </c>
      <c r="C10" s="78">
        <v>0</v>
      </c>
      <c r="D10" s="78">
        <v>0</v>
      </c>
      <c r="E10" s="78">
        <f aca="true" t="shared" si="1" ref="E10:E30">D10-C10</f>
        <v>0</v>
      </c>
      <c r="F10" s="79">
        <f t="shared" si="0"/>
        <v>0</v>
      </c>
    </row>
    <row r="11" spans="1:6" ht="91.5">
      <c r="A11" s="80" t="s">
        <v>62</v>
      </c>
      <c r="B11" s="78">
        <v>0</v>
      </c>
      <c r="C11" s="78">
        <v>0</v>
      </c>
      <c r="D11" s="78">
        <v>0</v>
      </c>
      <c r="E11" s="78">
        <f t="shared" si="1"/>
        <v>0</v>
      </c>
      <c r="F11" s="79">
        <f t="shared" si="0"/>
        <v>0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82" t="s">
        <v>50</v>
      </c>
      <c r="B23" s="83">
        <f>B24+B25</f>
        <v>0</v>
      </c>
      <c r="C23" s="83">
        <f>C24+C25</f>
        <v>0</v>
      </c>
      <c r="D23" s="83">
        <f>D24+D25</f>
        <v>0</v>
      </c>
      <c r="E23" s="83">
        <f t="shared" si="1"/>
        <v>0</v>
      </c>
      <c r="F23" s="75">
        <f t="shared" si="0"/>
        <v>0</v>
      </c>
    </row>
    <row r="24" spans="1:6" ht="91.5">
      <c r="A24" s="84" t="s">
        <v>51</v>
      </c>
      <c r="B24" s="78">
        <v>0</v>
      </c>
      <c r="C24" s="78">
        <v>0</v>
      </c>
      <c r="D24" s="78">
        <v>0</v>
      </c>
      <c r="E24" s="78">
        <f t="shared" si="1"/>
        <v>0</v>
      </c>
      <c r="F24" s="79">
        <f t="shared" si="0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1"/>
        <v>0</v>
      </c>
      <c r="F25" s="79">
        <f t="shared" si="0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 t="shared" si="1"/>
        <v>0</v>
      </c>
      <c r="F26" s="75">
        <f t="shared" si="0"/>
        <v>0</v>
      </c>
    </row>
    <row r="27" spans="1:6" ht="91.5">
      <c r="A27" s="77" t="s">
        <v>51</v>
      </c>
      <c r="B27" s="78">
        <v>0</v>
      </c>
      <c r="C27" s="78">
        <v>0</v>
      </c>
      <c r="D27" s="78">
        <v>0</v>
      </c>
      <c r="E27" s="78">
        <f t="shared" si="1"/>
        <v>0</v>
      </c>
      <c r="F27" s="79">
        <f t="shared" si="0"/>
        <v>0</v>
      </c>
    </row>
    <row r="28" spans="1:6" ht="91.5">
      <c r="A28" s="80" t="s">
        <v>53</v>
      </c>
      <c r="B28" s="78">
        <v>0</v>
      </c>
      <c r="C28" s="78">
        <v>0</v>
      </c>
      <c r="D28" s="78">
        <v>0</v>
      </c>
      <c r="E28" s="78">
        <f t="shared" si="1"/>
        <v>0</v>
      </c>
      <c r="F28" s="79">
        <f t="shared" si="0"/>
        <v>0</v>
      </c>
    </row>
    <row r="29" spans="1:6" ht="91.5">
      <c r="A29" s="80" t="s">
        <v>54</v>
      </c>
      <c r="B29" s="78">
        <v>0</v>
      </c>
      <c r="C29" s="78">
        <v>0</v>
      </c>
      <c r="D29" s="78">
        <v>0</v>
      </c>
      <c r="E29" s="78">
        <f t="shared" si="1"/>
        <v>0</v>
      </c>
      <c r="F29" s="79">
        <f t="shared" si="0"/>
        <v>0</v>
      </c>
    </row>
    <row r="30" spans="1:6" ht="91.5">
      <c r="A30" s="76" t="s">
        <v>14</v>
      </c>
      <c r="B30" s="85">
        <f>B29+B28+B27+B25+B24+B9+B8</f>
        <v>3544363</v>
      </c>
      <c r="C30" s="86">
        <f>C29+C28+C27+C25+C24+C9+C8</f>
        <v>3544363</v>
      </c>
      <c r="D30" s="86">
        <f>D29+D28+D27+D25+D24+D9+D8</f>
        <v>3677635</v>
      </c>
      <c r="E30" s="86">
        <f t="shared" si="1"/>
        <v>133272</v>
      </c>
      <c r="F30" s="87">
        <f t="shared" si="0"/>
        <v>0.037601114784236264</v>
      </c>
    </row>
    <row r="31" spans="1:6" ht="91.5">
      <c r="A31" s="76"/>
      <c r="B31" s="88"/>
      <c r="C31" s="86"/>
      <c r="D31" s="86"/>
      <c r="E31" s="86"/>
      <c r="F31" s="89"/>
    </row>
    <row r="32" spans="1:6" ht="91.5">
      <c r="A32" s="82" t="s">
        <v>78</v>
      </c>
      <c r="B32" s="74">
        <v>0</v>
      </c>
      <c r="C32" s="74">
        <v>0</v>
      </c>
      <c r="D32" s="74">
        <v>0</v>
      </c>
      <c r="E32" s="74">
        <f>D32-C32</f>
        <v>0</v>
      </c>
      <c r="F32" s="75">
        <f t="shared" si="0"/>
        <v>0</v>
      </c>
    </row>
    <row r="33" spans="1:6" ht="91.5">
      <c r="A33" s="80" t="s">
        <v>0</v>
      </c>
      <c r="B33" s="86"/>
      <c r="C33" s="86"/>
      <c r="D33" s="86"/>
      <c r="E33" s="86"/>
      <c r="F33" s="90"/>
    </row>
    <row r="34" spans="1:6" ht="91.5">
      <c r="A34" s="82" t="s">
        <v>15</v>
      </c>
      <c r="B34" s="74">
        <v>0</v>
      </c>
      <c r="C34" s="74">
        <v>0</v>
      </c>
      <c r="D34" s="74">
        <v>0</v>
      </c>
      <c r="E34" s="74">
        <f>D34-C34</f>
        <v>0</v>
      </c>
      <c r="F34" s="75">
        <f t="shared" si="0"/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56</v>
      </c>
      <c r="B36" s="74">
        <v>0</v>
      </c>
      <c r="C36" s="74">
        <v>0</v>
      </c>
      <c r="D36" s="74">
        <v>0</v>
      </c>
      <c r="E36" s="74">
        <f>D36-C36</f>
        <v>0</v>
      </c>
      <c r="F36" s="75">
        <f t="shared" si="0"/>
        <v>0</v>
      </c>
    </row>
    <row r="37" spans="1:6" ht="91.5">
      <c r="A37" s="80" t="s">
        <v>0</v>
      </c>
      <c r="B37" s="86"/>
      <c r="C37" s="86"/>
      <c r="D37" s="86"/>
      <c r="E37" s="86"/>
      <c r="F37" s="87"/>
    </row>
    <row r="38" spans="1:6" ht="91.5">
      <c r="A38" s="82" t="s">
        <v>16</v>
      </c>
      <c r="B38" s="74">
        <v>0</v>
      </c>
      <c r="C38" s="74">
        <v>0</v>
      </c>
      <c r="D38" s="74">
        <v>0</v>
      </c>
      <c r="E38" s="74">
        <f>D38-C38</f>
        <v>0</v>
      </c>
      <c r="F38" s="75">
        <f t="shared" si="0"/>
        <v>0</v>
      </c>
    </row>
    <row r="39" spans="1:6" ht="91.5">
      <c r="A39" s="80"/>
      <c r="B39" s="86"/>
      <c r="C39" s="86"/>
      <c r="D39" s="86"/>
      <c r="E39" s="86"/>
      <c r="F39" s="87"/>
    </row>
    <row r="40" spans="1:6" ht="91.5">
      <c r="A40" s="118" t="s">
        <v>17</v>
      </c>
      <c r="B40" s="120">
        <f>B38+B36+B34+B30-B32</f>
        <v>3544363</v>
      </c>
      <c r="C40" s="120">
        <f>C38+C36+C34+C30-C32</f>
        <v>3544363</v>
      </c>
      <c r="D40" s="120">
        <f>D38+D36+D34+D30-D32</f>
        <v>3677635</v>
      </c>
      <c r="E40" s="120">
        <f>D40-C40</f>
        <v>133272</v>
      </c>
      <c r="F40" s="121">
        <f t="shared" si="0"/>
        <v>0.037601114784236264</v>
      </c>
    </row>
    <row r="41" spans="1:6" ht="91.5">
      <c r="A41" s="91" t="s">
        <v>18</v>
      </c>
      <c r="B41" s="70"/>
      <c r="C41" s="70"/>
      <c r="D41" s="70"/>
      <c r="E41" s="70"/>
      <c r="F41" s="71"/>
    </row>
    <row r="42" spans="1:6" ht="91.5">
      <c r="A42" s="77" t="s">
        <v>19</v>
      </c>
      <c r="B42" s="78">
        <v>0</v>
      </c>
      <c r="C42" s="78">
        <v>0</v>
      </c>
      <c r="D42" s="78">
        <v>0</v>
      </c>
      <c r="E42" s="78">
        <f>D42-C42</f>
        <v>0</v>
      </c>
      <c r="F42" s="92">
        <f t="shared" si="0"/>
        <v>0</v>
      </c>
    </row>
    <row r="43" spans="1:6" ht="91.5">
      <c r="A43" s="80" t="s">
        <v>20</v>
      </c>
      <c r="B43" s="78">
        <v>0</v>
      </c>
      <c r="C43" s="78">
        <v>0</v>
      </c>
      <c r="D43" s="78">
        <v>0</v>
      </c>
      <c r="E43" s="78">
        <f>D43-C43</f>
        <v>0</v>
      </c>
      <c r="F43" s="90">
        <f t="shared" si="0"/>
        <v>0</v>
      </c>
    </row>
    <row r="44" spans="1:6" ht="91.5">
      <c r="A44" s="80" t="s">
        <v>21</v>
      </c>
      <c r="B44" s="78">
        <v>0</v>
      </c>
      <c r="C44" s="78">
        <v>0</v>
      </c>
      <c r="D44" s="78">
        <v>0</v>
      </c>
      <c r="E44" s="78">
        <f aca="true" t="shared" si="2" ref="E44:E55">D44-C44</f>
        <v>0</v>
      </c>
      <c r="F44" s="90">
        <f t="shared" si="0"/>
        <v>0</v>
      </c>
    </row>
    <row r="45" spans="1:6" ht="91.5">
      <c r="A45" s="80" t="s">
        <v>49</v>
      </c>
      <c r="B45" s="78">
        <v>0</v>
      </c>
      <c r="C45" s="78">
        <v>0</v>
      </c>
      <c r="D45" s="78">
        <v>0</v>
      </c>
      <c r="E45" s="78">
        <f t="shared" si="2"/>
        <v>0</v>
      </c>
      <c r="F45" s="90">
        <f t="shared" si="0"/>
        <v>0</v>
      </c>
    </row>
    <row r="46" spans="1:6" ht="91.5">
      <c r="A46" s="80" t="s">
        <v>22</v>
      </c>
      <c r="B46" s="78">
        <v>0</v>
      </c>
      <c r="C46" s="78">
        <v>0</v>
      </c>
      <c r="D46" s="78">
        <v>0</v>
      </c>
      <c r="E46" s="78">
        <f t="shared" si="2"/>
        <v>0</v>
      </c>
      <c r="F46" s="90">
        <f t="shared" si="0"/>
        <v>0</v>
      </c>
    </row>
    <row r="47" spans="1:6" ht="91.5">
      <c r="A47" s="80" t="s">
        <v>23</v>
      </c>
      <c r="B47" s="78">
        <f>3365326+179037</f>
        <v>3544363</v>
      </c>
      <c r="C47" s="78">
        <f>3365326+179037</f>
        <v>3544363</v>
      </c>
      <c r="D47" s="78">
        <f>3427281+250354</f>
        <v>3677635</v>
      </c>
      <c r="E47" s="78">
        <f t="shared" si="2"/>
        <v>133272</v>
      </c>
      <c r="F47" s="90">
        <f t="shared" si="0"/>
        <v>0.037601114784236264</v>
      </c>
    </row>
    <row r="48" spans="1:6" ht="91.5">
      <c r="A48" s="80" t="s">
        <v>24</v>
      </c>
      <c r="B48" s="78">
        <v>0</v>
      </c>
      <c r="C48" s="78">
        <v>0</v>
      </c>
      <c r="D48" s="78">
        <v>0</v>
      </c>
      <c r="E48" s="78">
        <f t="shared" si="2"/>
        <v>0</v>
      </c>
      <c r="F48" s="90">
        <f t="shared" si="0"/>
        <v>0</v>
      </c>
    </row>
    <row r="49" spans="1:6" ht="91.5">
      <c r="A49" s="80" t="s">
        <v>25</v>
      </c>
      <c r="B49" s="78">
        <v>0</v>
      </c>
      <c r="C49" s="78">
        <v>0</v>
      </c>
      <c r="D49" s="78">
        <v>0</v>
      </c>
      <c r="E49" s="78">
        <f t="shared" si="2"/>
        <v>0</v>
      </c>
      <c r="F49" s="90">
        <f t="shared" si="0"/>
        <v>0</v>
      </c>
    </row>
    <row r="50" spans="1:6" ht="91.5">
      <c r="A50" s="93" t="s">
        <v>26</v>
      </c>
      <c r="B50" s="83">
        <f>SUM(B42:B49)</f>
        <v>3544363</v>
      </c>
      <c r="C50" s="83">
        <f>SUM(C42:C49)</f>
        <v>3544363</v>
      </c>
      <c r="D50" s="83">
        <f>SUM(D42:D49)</f>
        <v>3677635</v>
      </c>
      <c r="E50" s="83">
        <f t="shared" si="2"/>
        <v>133272</v>
      </c>
      <c r="F50" s="87">
        <f t="shared" si="0"/>
        <v>0.037601114784236264</v>
      </c>
    </row>
    <row r="51" spans="1:6" ht="91.5">
      <c r="A51" s="80" t="s">
        <v>27</v>
      </c>
      <c r="B51" s="78">
        <v>0</v>
      </c>
      <c r="C51" s="78">
        <v>0</v>
      </c>
      <c r="D51" s="78">
        <v>0</v>
      </c>
      <c r="E51" s="78">
        <f t="shared" si="2"/>
        <v>0</v>
      </c>
      <c r="F51" s="90">
        <f t="shared" si="0"/>
        <v>0</v>
      </c>
    </row>
    <row r="52" spans="1:6" ht="91.5">
      <c r="A52" s="80" t="s">
        <v>28</v>
      </c>
      <c r="B52" s="78">
        <v>0</v>
      </c>
      <c r="C52" s="78">
        <v>0</v>
      </c>
      <c r="D52" s="78">
        <v>0</v>
      </c>
      <c r="E52" s="78">
        <f t="shared" si="2"/>
        <v>0</v>
      </c>
      <c r="F52" s="90">
        <f t="shared" si="0"/>
        <v>0</v>
      </c>
    </row>
    <row r="53" spans="1:6" ht="91.5">
      <c r="A53" s="80" t="s">
        <v>29</v>
      </c>
      <c r="B53" s="78">
        <v>0</v>
      </c>
      <c r="C53" s="78">
        <v>0</v>
      </c>
      <c r="D53" s="78">
        <v>0</v>
      </c>
      <c r="E53" s="78">
        <f t="shared" si="2"/>
        <v>0</v>
      </c>
      <c r="F53" s="90">
        <f t="shared" si="0"/>
        <v>0</v>
      </c>
    </row>
    <row r="54" spans="1:6" ht="91.5">
      <c r="A54" s="80" t="s">
        <v>30</v>
      </c>
      <c r="B54" s="78">
        <v>0</v>
      </c>
      <c r="C54" s="78">
        <v>0</v>
      </c>
      <c r="D54" s="78">
        <v>0</v>
      </c>
      <c r="E54" s="78">
        <f t="shared" si="2"/>
        <v>0</v>
      </c>
      <c r="F54" s="90">
        <f t="shared" si="0"/>
        <v>0</v>
      </c>
    </row>
    <row r="55" spans="1:6" ht="91.5">
      <c r="A55" s="94" t="s">
        <v>31</v>
      </c>
      <c r="B55" s="85">
        <f>B54+B53+B52+B51+B50</f>
        <v>3544363</v>
      </c>
      <c r="C55" s="85">
        <f>C54+C53+C52+C51+C50</f>
        <v>3544363</v>
      </c>
      <c r="D55" s="85">
        <f>D54+D53+D52+D51+D50</f>
        <v>3677635</v>
      </c>
      <c r="E55" s="85">
        <f t="shared" si="2"/>
        <v>133272</v>
      </c>
      <c r="F55" s="95">
        <f t="shared" si="0"/>
        <v>0.037601114784236264</v>
      </c>
    </row>
    <row r="56" spans="1:6" ht="91.5">
      <c r="A56" s="91" t="s">
        <v>32</v>
      </c>
      <c r="B56" s="70"/>
      <c r="C56" s="70"/>
      <c r="D56" s="70"/>
      <c r="E56" s="70"/>
      <c r="F56" s="71"/>
    </row>
    <row r="57" spans="1:6" ht="91.5">
      <c r="A57" s="77" t="s">
        <v>33</v>
      </c>
      <c r="B57" s="78">
        <f>161739+907447</f>
        <v>1069186</v>
      </c>
      <c r="C57" s="78">
        <f>154037+1302971</f>
        <v>1457008</v>
      </c>
      <c r="D57" s="78">
        <f>115234+1527716</f>
        <v>1642950</v>
      </c>
      <c r="E57" s="78">
        <f aca="true" t="shared" si="3" ref="E57:E74">D57-C57</f>
        <v>185942</v>
      </c>
      <c r="F57" s="92">
        <f t="shared" si="0"/>
        <v>0.12761906592139508</v>
      </c>
    </row>
    <row r="58" spans="1:6" ht="91.5">
      <c r="A58" s="80" t="s">
        <v>34</v>
      </c>
      <c r="B58" s="78">
        <f>12700+17805</f>
        <v>30505</v>
      </c>
      <c r="C58" s="78">
        <f>25000+9569</f>
        <v>34569</v>
      </c>
      <c r="D58" s="78">
        <f>9600</f>
        <v>9600</v>
      </c>
      <c r="E58" s="78">
        <f t="shared" si="3"/>
        <v>-24969</v>
      </c>
      <c r="F58" s="90">
        <f t="shared" si="0"/>
        <v>-0.7222945413520785</v>
      </c>
    </row>
    <row r="59" spans="1:6" ht="91.5">
      <c r="A59" s="80" t="s">
        <v>35</v>
      </c>
      <c r="B59" s="78">
        <v>2803</v>
      </c>
      <c r="C59" s="78">
        <v>29233</v>
      </c>
      <c r="D59" s="78">
        <f>36492+40332</f>
        <v>76824</v>
      </c>
      <c r="E59" s="78">
        <f t="shared" si="3"/>
        <v>47591</v>
      </c>
      <c r="F59" s="90">
        <f t="shared" si="0"/>
        <v>1.6279889166353094</v>
      </c>
    </row>
    <row r="60" spans="1:6" ht="91.5">
      <c r="A60" s="93" t="s">
        <v>36</v>
      </c>
      <c r="B60" s="96">
        <f>SUM(B57:B59)</f>
        <v>1102494</v>
      </c>
      <c r="C60" s="96">
        <f>SUM(C57:C59)</f>
        <v>1520810</v>
      </c>
      <c r="D60" s="96">
        <f>SUM(D57:D59)</f>
        <v>1729374</v>
      </c>
      <c r="E60" s="96">
        <f t="shared" si="3"/>
        <v>208564</v>
      </c>
      <c r="F60" s="97">
        <f t="shared" si="0"/>
        <v>0.13714007666966946</v>
      </c>
    </row>
    <row r="61" spans="1:6" ht="91.5">
      <c r="A61" s="80" t="s">
        <v>37</v>
      </c>
      <c r="B61" s="78">
        <v>3365</v>
      </c>
      <c r="C61" s="78">
        <v>1000</v>
      </c>
      <c r="D61" s="78">
        <f>66880</f>
        <v>66880</v>
      </c>
      <c r="E61" s="78">
        <f t="shared" si="3"/>
        <v>65880</v>
      </c>
      <c r="F61" s="90">
        <f t="shared" si="0"/>
        <v>65.88</v>
      </c>
    </row>
    <row r="62" spans="1:6" ht="91.5">
      <c r="A62" s="80" t="s">
        <v>38</v>
      </c>
      <c r="B62" s="78">
        <v>5522</v>
      </c>
      <c r="C62" s="78">
        <v>51607</v>
      </c>
      <c r="D62" s="78">
        <v>47278</v>
      </c>
      <c r="E62" s="78">
        <f t="shared" si="3"/>
        <v>-4329</v>
      </c>
      <c r="F62" s="90">
        <f t="shared" si="0"/>
        <v>-0.08388396922898056</v>
      </c>
    </row>
    <row r="63" spans="1:6" ht="91.5">
      <c r="A63" s="80" t="s">
        <v>39</v>
      </c>
      <c r="B63" s="78">
        <v>4082</v>
      </c>
      <c r="C63" s="78">
        <v>5000</v>
      </c>
      <c r="D63" s="78">
        <v>4000</v>
      </c>
      <c r="E63" s="78">
        <f t="shared" si="3"/>
        <v>-1000</v>
      </c>
      <c r="F63" s="90">
        <f t="shared" si="0"/>
        <v>-0.2</v>
      </c>
    </row>
    <row r="64" spans="1:6" ht="91.5">
      <c r="A64" s="76" t="s">
        <v>40</v>
      </c>
      <c r="B64" s="83">
        <f>SUM(B61:B63)</f>
        <v>12969</v>
      </c>
      <c r="C64" s="83">
        <f>SUM(C61:C63)</f>
        <v>57607</v>
      </c>
      <c r="D64" s="83">
        <f>SUM(D61:D63)</f>
        <v>118158</v>
      </c>
      <c r="E64" s="83">
        <f t="shared" si="3"/>
        <v>60551</v>
      </c>
      <c r="F64" s="87">
        <f t="shared" si="0"/>
        <v>1.0511049004461264</v>
      </c>
    </row>
    <row r="65" spans="1:6" ht="91.5">
      <c r="A65" s="80" t="s">
        <v>41</v>
      </c>
      <c r="B65" s="78">
        <v>25000</v>
      </c>
      <c r="C65" s="78">
        <v>83114</v>
      </c>
      <c r="D65" s="78">
        <v>41245</v>
      </c>
      <c r="E65" s="78">
        <f t="shared" si="3"/>
        <v>-41869</v>
      </c>
      <c r="F65" s="90">
        <f t="shared" si="0"/>
        <v>-0.5037538802127198</v>
      </c>
    </row>
    <row r="66" spans="1:6" ht="91.5">
      <c r="A66" s="80" t="s">
        <v>42</v>
      </c>
      <c r="B66" s="78">
        <f>3375+1484476+4598</f>
        <v>1492449</v>
      </c>
      <c r="C66" s="78">
        <v>1113406</v>
      </c>
      <c r="D66" s="78">
        <f>18308+1717450</f>
        <v>1735758</v>
      </c>
      <c r="E66" s="78">
        <f t="shared" si="3"/>
        <v>622352</v>
      </c>
      <c r="F66" s="90">
        <f t="shared" si="0"/>
        <v>0.5589623192258709</v>
      </c>
    </row>
    <row r="67" spans="1:6" ht="91.5">
      <c r="A67" s="80" t="s">
        <v>43</v>
      </c>
      <c r="B67" s="78">
        <v>0</v>
      </c>
      <c r="C67" s="78">
        <v>0</v>
      </c>
      <c r="D67" s="78">
        <v>0</v>
      </c>
      <c r="E67" s="78">
        <f t="shared" si="3"/>
        <v>0</v>
      </c>
      <c r="F67" s="90">
        <f t="shared" si="0"/>
        <v>0</v>
      </c>
    </row>
    <row r="68" spans="1:6" ht="91.5">
      <c r="A68" s="80" t="s">
        <v>44</v>
      </c>
      <c r="B68" s="78">
        <v>752600</v>
      </c>
      <c r="C68" s="78">
        <v>308396</v>
      </c>
      <c r="D68" s="78">
        <v>0</v>
      </c>
      <c r="E68" s="78">
        <f t="shared" si="3"/>
        <v>-308396</v>
      </c>
      <c r="F68" s="90">
        <f t="shared" si="0"/>
        <v>-1</v>
      </c>
    </row>
    <row r="69" spans="1:6" ht="91.5">
      <c r="A69" s="76" t="s">
        <v>45</v>
      </c>
      <c r="B69" s="85">
        <f>SUM(B65:B68)</f>
        <v>2270049</v>
      </c>
      <c r="C69" s="85">
        <f>SUM(C65:C68)</f>
        <v>1504916</v>
      </c>
      <c r="D69" s="85">
        <f>SUM(D65:D68)</f>
        <v>1777003</v>
      </c>
      <c r="E69" s="85">
        <f t="shared" si="3"/>
        <v>272087</v>
      </c>
      <c r="F69" s="87">
        <f aca="true" t="shared" si="4" ref="F69:F74">IF(ISERROR(E69/C69),0,(E69/C69))</f>
        <v>0.1807987954144949</v>
      </c>
    </row>
    <row r="70" spans="1:6" ht="91.5">
      <c r="A70" s="80" t="s">
        <v>57</v>
      </c>
      <c r="B70" s="78">
        <v>34547</v>
      </c>
      <c r="C70" s="78">
        <v>57100</v>
      </c>
      <c r="D70" s="78">
        <v>53100</v>
      </c>
      <c r="E70" s="78">
        <f t="shared" si="3"/>
        <v>-4000</v>
      </c>
      <c r="F70" s="90">
        <f t="shared" si="4"/>
        <v>-0.07005253940455342</v>
      </c>
    </row>
    <row r="71" spans="1:6" ht="91.5">
      <c r="A71" s="80" t="s">
        <v>46</v>
      </c>
      <c r="B71" s="78">
        <v>0</v>
      </c>
      <c r="C71" s="78">
        <v>0</v>
      </c>
      <c r="D71" s="78">
        <v>0</v>
      </c>
      <c r="E71" s="78">
        <f t="shared" si="3"/>
        <v>0</v>
      </c>
      <c r="F71" s="90">
        <f t="shared" si="4"/>
        <v>0</v>
      </c>
    </row>
    <row r="72" spans="1:6" ht="91.5">
      <c r="A72" s="98" t="s">
        <v>47</v>
      </c>
      <c r="B72" s="78">
        <v>124303</v>
      </c>
      <c r="C72" s="78">
        <v>403930</v>
      </c>
      <c r="D72" s="78">
        <v>0</v>
      </c>
      <c r="E72" s="78">
        <f t="shared" si="3"/>
        <v>-403930</v>
      </c>
      <c r="F72" s="90">
        <f t="shared" si="4"/>
        <v>-1</v>
      </c>
    </row>
    <row r="73" spans="1:6" ht="91.5">
      <c r="A73" s="99" t="s">
        <v>48</v>
      </c>
      <c r="B73" s="85">
        <f>SUM(B70:B72)</f>
        <v>158850</v>
      </c>
      <c r="C73" s="85">
        <f>SUM(C70:C72)</f>
        <v>461030</v>
      </c>
      <c r="D73" s="85">
        <f>SUM(D70:D72)</f>
        <v>53100</v>
      </c>
      <c r="E73" s="85">
        <f t="shared" si="3"/>
        <v>-407930</v>
      </c>
      <c r="F73" s="95">
        <f t="shared" si="4"/>
        <v>-0.8848231134633321</v>
      </c>
    </row>
    <row r="74" spans="1:6" ht="91.5">
      <c r="A74" s="94" t="s">
        <v>31</v>
      </c>
      <c r="B74" s="85">
        <f>B73+B69+B64+B60+1</f>
        <v>3544363</v>
      </c>
      <c r="C74" s="85">
        <f>C73+C69+C64+C60</f>
        <v>3544363</v>
      </c>
      <c r="D74" s="85">
        <f>D73+D69+D64+D60</f>
        <v>3677635</v>
      </c>
      <c r="E74" s="85">
        <f t="shared" si="3"/>
        <v>133272</v>
      </c>
      <c r="F74" s="95">
        <f t="shared" si="4"/>
        <v>0.037601114784236264</v>
      </c>
    </row>
    <row r="75" ht="91.5">
      <c r="A75" s="56" t="s">
        <v>186</v>
      </c>
    </row>
    <row r="76" spans="1:6" ht="91.5">
      <c r="A76" s="56" t="s">
        <v>0</v>
      </c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35" zoomScaleNormal="35" zoomScalePageLayoutView="0" workbookViewId="0" topLeftCell="A27">
      <selection activeCell="B37" sqref="B37"/>
    </sheetView>
  </sheetViews>
  <sheetFormatPr defaultColWidth="50.3359375" defaultRowHeight="15"/>
  <cols>
    <col min="1" max="1" width="255.77734375" style="56" bestFit="1" customWidth="1"/>
    <col min="2" max="2" width="67.10546875" style="51" customWidth="1"/>
    <col min="3" max="3" width="64.10546875" style="51" customWidth="1"/>
    <col min="4" max="4" width="63.77734375" style="51" customWidth="1"/>
    <col min="5" max="5" width="70.88671875" style="51" bestFit="1" customWidth="1"/>
    <col min="6" max="6" width="77.4453125" style="57" customWidth="1"/>
    <col min="7" max="16384" width="50.3359375" style="56" customWidth="1"/>
  </cols>
  <sheetData>
    <row r="1" spans="1:6" ht="91.5">
      <c r="A1" s="50" t="s">
        <v>3</v>
      </c>
      <c r="C1" s="52"/>
      <c r="D1" s="54" t="s">
        <v>6</v>
      </c>
      <c r="E1" s="123" t="s">
        <v>88</v>
      </c>
      <c r="F1" s="56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95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f>SUM(LTC!B8,BRCC!B8,BPCC!B8,RPCC!B8,SLCC!B8,LDCC!B8,NUNEZ!B8,DELGADO!B8,FLETCHER!B8,SOWELA!B8,LCTCSBOS!B8)</f>
        <v>176639589.99</v>
      </c>
      <c r="C8" s="74">
        <f>SUM(LTC!C8,BRCC!C8,BPCC!C8,RPCC!C8,SLCC!C8,LDCC!C8,NUNEZ!C8,DELGADO!C8,FLETCHER!C8,SOWELA!C8,LCTCSBOS!C8)</f>
        <v>176639590</v>
      </c>
      <c r="D8" s="74">
        <f>SUM(LTC!D8,BRCC!D8,BPCC!D8,RPCC!D8,SLCC!D8,LDCC!D8,NUNEZ!D8,DELGADO!D8,FLETCHER!D8,SOWELA!D8,LCTCSBOS!D8)</f>
        <v>177749690</v>
      </c>
      <c r="E8" s="74">
        <f>D8-C8</f>
        <v>1110100</v>
      </c>
      <c r="F8" s="75">
        <f>IF(ISERROR(E8/C8),0,(E8/C8))</f>
        <v>0.00628454810158923</v>
      </c>
    </row>
    <row r="9" spans="1:6" ht="91.5">
      <c r="A9" s="76" t="s">
        <v>60</v>
      </c>
      <c r="B9" s="74">
        <f>SUM(B10:B23)</f>
        <v>16473643</v>
      </c>
      <c r="C9" s="74">
        <f>SUM(C10:C23)</f>
        <v>16668142</v>
      </c>
      <c r="D9" s="74">
        <f>SUM(D10:D23)</f>
        <v>9870384</v>
      </c>
      <c r="E9" s="74">
        <f>SUM(E10:E23)</f>
        <v>-6797758</v>
      </c>
      <c r="F9" s="75">
        <f aca="true" t="shared" si="0" ref="F9:F29">IF(ISERROR(E9/C9),0,(E9/C9))</f>
        <v>-0.40782937894337595</v>
      </c>
    </row>
    <row r="10" spans="1:6" ht="91.5">
      <c r="A10" s="77" t="s">
        <v>61</v>
      </c>
      <c r="B10" s="78">
        <f>SUM(LTC!B10,BRCC!B10,BPCC!B10,RPCC!B10,SLCC!B10,LDCC!B10,NUNEZ!B10,DELGADO!B10,FLETCHER!B10,SOWELA!B10,LCTCSBOS!B10)</f>
        <v>10841479.76</v>
      </c>
      <c r="C10" s="78">
        <f>SUM(LTC!C10,BRCC!C10,BPCC!C10,RPCC!C10,SLCC!C10,LDCC!C10,NUNEZ!C10,DELGADO!C10,FLETCHER!C10,SOWELA!C10,LCTCSBOS!C10)</f>
        <v>10841479</v>
      </c>
      <c r="D10" s="78">
        <f>SUM(LTC!D10,BRCC!D10,BPCC!D10,RPCC!D10,SLCC!D10,LDCC!D10,NUNEZ!D10,DELGADO!D10,FLETCHER!D10,SOWELA!D10,LCTCSBOS!D10)</f>
        <v>3848210</v>
      </c>
      <c r="E10" s="78">
        <f aca="true" t="shared" si="1" ref="E10:E69">D10-C10</f>
        <v>-6993269</v>
      </c>
      <c r="F10" s="79">
        <f t="shared" si="0"/>
        <v>-0.6450475068945851</v>
      </c>
    </row>
    <row r="11" spans="1:6" ht="91.5">
      <c r="A11" s="80" t="s">
        <v>62</v>
      </c>
      <c r="B11" s="78">
        <f>SUM(LTC!B11,BRCC!B11,BPCC!B11,RPCC!B11,SLCC!B11,LDCC!B11,NUNEZ!B11,DELGADO!B11,FLETCHER!B11,SOWELA!B11,LCTCSBOS!B11)</f>
        <v>5515329.24</v>
      </c>
      <c r="C11" s="78">
        <f>SUM(LTC!C11,BRCC!C11,BPCC!C11,RPCC!C11,SLCC!C11,LDCC!C11,NUNEZ!C11,DELGADO!C11,FLETCHER!C11,SOWELA!C11,LCTCSBOS!C11)</f>
        <v>5515330</v>
      </c>
      <c r="D11" s="78">
        <f>SUM(LTC!D11,BRCC!D11,BPCC!D11,RPCC!D11,SLCC!D11,LDCC!D11,NUNEZ!D11,DELGADO!D11,FLETCHER!D11,SOWELA!D11,LCTCSBOS!D11)</f>
        <v>5838427</v>
      </c>
      <c r="E11" s="78">
        <f t="shared" si="1"/>
        <v>323097</v>
      </c>
      <c r="F11" s="79">
        <f t="shared" si="0"/>
        <v>0.058581626122099675</v>
      </c>
    </row>
    <row r="12" spans="1:6" ht="91.5">
      <c r="A12" s="80" t="s">
        <v>65</v>
      </c>
      <c r="B12" s="78">
        <f>SUM(LTC!B12,BRCC!B12,BPCC!B12,RPCC!B12,SLCC!B12,LDCC!B12,NUNEZ!B12,DELGADO!B12,FLETCHER!B12,SOWELA!B12,LCTCSBOS!B12)</f>
        <v>0</v>
      </c>
      <c r="C12" s="78">
        <f>SUM(LTC!C12,BRCC!C12,BPCC!C12,RPCC!C12,SLCC!C12,LDCC!C12,NUNEZ!C12,DELGADO!C12,FLETCHER!C12,SOWELA!C12,LCTCSBOS!C12)</f>
        <v>0</v>
      </c>
      <c r="D12" s="78">
        <f>SUM(LTC!D12,BRCC!D12,BPCC!D12,RPCC!D12,SLCC!D12,LDCC!D12,NUNEZ!D12,DELGADO!D12,FLETCHER!D12,SOWELA!D12,LCTCSBOS!D12)</f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f>SUM(LTC!B13,BRCC!B13,BPCC!B13,RPCC!B13,SLCC!B13,LDCC!B13,NUNEZ!B13,DELGADO!B13,FLETCHER!B13,SOWELA!B13,LCTCSBOS!B13)</f>
        <v>116834</v>
      </c>
      <c r="C13" s="78">
        <f>SUM(LTC!C13,BRCC!C13,BPCC!C13,RPCC!C13,SLCC!C13,LDCC!C13,NUNEZ!C13,DELGADO!C13,FLETCHER!C13,SOWELA!C13,LCTCSBOS!C13)</f>
        <v>116834</v>
      </c>
      <c r="D13" s="78">
        <f>SUM(LTC!D13,BRCC!D13,BPCC!D13,RPCC!D13,SLCC!D13,LDCC!D13,NUNEZ!D13,DELGADO!D13,FLETCHER!D13,SOWELA!D13,LCTCSBOS!D13)</f>
        <v>183747</v>
      </c>
      <c r="E13" s="78">
        <f t="shared" si="1"/>
        <v>66913</v>
      </c>
      <c r="F13" s="79">
        <f t="shared" si="0"/>
        <v>0.5727185579540203</v>
      </c>
    </row>
    <row r="14" spans="1:6" ht="91.5">
      <c r="A14" s="80" t="s">
        <v>67</v>
      </c>
      <c r="B14" s="78">
        <f>SUM(LTC!B14,BRCC!B14,BPCC!B15,RPCC!B14,SLCC!B14,LDCC!B14,NUNEZ!B14,DELGADO!B14,FLETCHER!B14,SOWELA!B14,LCTCSBOS!B14)</f>
        <v>0</v>
      </c>
      <c r="C14" s="78">
        <f>SUM(LTC!C14,BRCC!C14,BPCC!C15,RPCC!C14,SLCC!C14,LDCC!C14,NUNEZ!C14,DELGADO!C14,FLETCHER!C14,SOWELA!C14,LCTCSBOS!C14)</f>
        <v>0</v>
      </c>
      <c r="D14" s="78">
        <f>SUM(LTC!D14,BRCC!D14,BPCC!D15,RPCC!D14,SLCC!D14,LDCC!D14,NUNEZ!D14,DELGADO!D14,FLETCHER!D14,SOWELA!D14,LCTCSBOS!D14)</f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74</v>
      </c>
      <c r="B15" s="78">
        <f>SUM(LTC!B15,BRCC!B15,BPCC!B16,RPCC!B15,SLCC!B15,LDCC!B15,NUNEZ!B15,DELGADO!B15,FLETCHER!B15,SOWELA!B15,LCTCSBOS!B15)</f>
        <v>0</v>
      </c>
      <c r="C15" s="78">
        <f>SUM(LTC!C15,BRCC!C15,BPCC!C16,RPCC!C15,SLCC!C15,LDCC!C15,NUNEZ!C15,DELGADO!C15,FLETCHER!C15,SOWELA!C15,LCTCSBOS!C15)</f>
        <v>0</v>
      </c>
      <c r="D15" s="78">
        <f>SUM(LTC!D15,BRCC!D15,BPCC!D16,RPCC!D15,SLCC!D15,LDCC!D15,NUNEZ!D15,DELGADO!D15,FLETCHER!D15,SOWELA!D15,LCTCSBOS!D15)</f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63</v>
      </c>
      <c r="B16" s="78">
        <f>SUM(LTC!B16,BRCC!B16,BPCC!B17,RPCC!B16,SLCC!B16,LDCC!B16,NUNEZ!B16,DELGADO!B16,FLETCHER!B16,SOWELA!B16,LCTCSBOS!B16)</f>
        <v>0</v>
      </c>
      <c r="C16" s="78">
        <f>SUM(LTC!C16,BRCC!C16,BPCC!C17,RPCC!C16,SLCC!C16,LDCC!C16,NUNEZ!C16,DELGADO!C16,FLETCHER!C16,SOWELA!C16,LCTCSBOS!C16)</f>
        <v>0</v>
      </c>
      <c r="D16" s="78">
        <f>SUM(LTC!D16,BRCC!D16,BPCC!D17,RPCC!D16,SLCC!D16,LDCC!D16,NUNEZ!D16,DELGADO!D16,FLETCHER!D16,SOWELA!D16,LCTCSBOS!D16)</f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f>SUM(LTC!B17,BRCC!B17,BPCC!B18,RPCC!B17,SLCC!B17,LDCC!B17,NUNEZ!B17,DELGADO!B17,FLETCHER!B17,SOWELA!B17,LCTCSBOS!B17)</f>
        <v>0</v>
      </c>
      <c r="C17" s="78">
        <f>SUM(LTC!C17,BRCC!C17,BPCC!C18,RPCC!C17,SLCC!C17,LDCC!C17,NUNEZ!C17,DELGADO!C17,FLETCHER!C17,SOWELA!C17,LCTCSBOS!C17)</f>
        <v>0</v>
      </c>
      <c r="D17" s="78">
        <f>SUM(LTC!D17,BRCC!D17,BPCC!D18,RPCC!D17,SLCC!D17,LDCC!D17,NUNEZ!D17,DELGADO!D17,FLETCHER!D17,SOWELA!D17,LCTCSBOS!D17)</f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f>SUM(LTC!B18,BRCC!B18,BPCC!B19,RPCC!B18,SLCC!B18,LDCC!B18,NUNEZ!B18,DELGADO!B18,FLETCHER!B18,SOWELA!B18,LCTCSBOS!B18)</f>
        <v>0</v>
      </c>
      <c r="C18" s="78">
        <f>SUM(LTC!C18,BRCC!C18,BPCC!C19,RPCC!C18,SLCC!C18,LDCC!C18,NUNEZ!C18,DELGADO!C18,FLETCHER!C18,SOWELA!C18,LCTCSBOS!C18)</f>
        <v>0</v>
      </c>
      <c r="D18" s="78">
        <f>SUM(LTC!D18,BRCC!D18,BPCC!D19,RPCC!D18,SLCC!D18,LDCC!D18,NUNEZ!D18,DELGADO!D18,FLETCHER!D18,SOWELA!D18,LCTCSBOS!D18)</f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f>SUM(LTC!B19,BRCC!B19,BPCC!B20,RPCC!B19,SLCC!B19,LDCC!B19,NUNEZ!B19,DELGADO!B19,FLETCHER!B19,SOWELA!B19,LCTCSBOS!B19)</f>
        <v>0</v>
      </c>
      <c r="C19" s="78">
        <f>SUM(LTC!C19,BRCC!C19,BPCC!C20,RPCC!C19,SLCC!C19,LDCC!C19,NUNEZ!C19,DELGADO!C19,FLETCHER!C19,SOWELA!C19,LCTCSBOS!C19)</f>
        <v>0</v>
      </c>
      <c r="D19" s="78">
        <f>SUM(LTC!D19,BRCC!D19,BPCC!D20,RPCC!D19,SLCC!D19,LDCC!D19,NUNEZ!D19,DELGADO!D19,FLETCHER!D19,SOWELA!D19,LCTCSBOS!D19)</f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f>SUM(LTC!B20,BRCC!B21,BPCC!B21,RPCC!B20,SLCC!B20,LDCC!B20,NUNEZ!B21,DELGADO!B20,FLETCHER!B20,SOWELA!B21,LCTCSBOS!B20)</f>
        <v>0</v>
      </c>
      <c r="C21" s="78">
        <f>SUM(LTC!C20,BRCC!C21,BPCC!C21,RPCC!C20,SLCC!C20,LDCC!C20,NUNEZ!C21,DELGADO!C20,FLETCHER!C20,SOWELA!C21,LCTCSBOS!C20)</f>
        <v>0</v>
      </c>
      <c r="D21" s="78">
        <f>SUM(LTC!D20,BRCC!D21,BPCC!D21,RPCC!D20,SLCC!D20,LDCC!D20,NUNEZ!D21,DELGADO!D20,FLETCHER!D20,SOWELA!D21,LCTCSBOS!D20)</f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f>SUM(LTC!B21,BRCC!B22,BPCC!B22,RPCC!B21,SLCC!B21,LDCC!B21,NUNEZ!B22,DELGADO!B21,FLETCHER!B21,SOWELA!B22,LCTCSBOS!B20)</f>
        <v>0</v>
      </c>
      <c r="C22" s="78">
        <f>SUM(LTC!C21,BRCC!C22,BPCC!C22,RPCC!C21,SLCC!C21,LDCC!C21,NUNEZ!C22,DELGADO!C21,FLETCHER!C21,SOWELA!C22,LCTCSBOS!C20)</f>
        <v>0</v>
      </c>
      <c r="D22" s="78">
        <f>SUM(LTC!D21,BRCC!D22,BPCC!D22,RPCC!D21,SLCC!D21,LDCC!D21,NUNEZ!D22,DELGADO!D21,FLETCHER!D21,SOWELA!D22,LCTCSBOS!D20)</f>
        <v>0</v>
      </c>
      <c r="E22" s="78">
        <f t="shared" si="1"/>
        <v>0</v>
      </c>
      <c r="F22" s="79">
        <f t="shared" si="0"/>
        <v>0</v>
      </c>
    </row>
    <row r="23" spans="1:6" ht="91.5">
      <c r="A23" s="130" t="s">
        <v>159</v>
      </c>
      <c r="B23" s="129">
        <f>SUM(SOWELA!B23)</f>
        <v>0</v>
      </c>
      <c r="C23" s="129">
        <f>SUM(SOWELA!C23)</f>
        <v>194499</v>
      </c>
      <c r="D23" s="129">
        <f>SUM(SOWELA!D23)</f>
        <v>0</v>
      </c>
      <c r="E23" s="129">
        <f t="shared" si="1"/>
        <v>-194499</v>
      </c>
      <c r="F23" s="79">
        <f t="shared" si="0"/>
        <v>-1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f t="shared" si="1"/>
        <v>0</v>
      </c>
      <c r="F24" s="136">
        <f t="shared" si="0"/>
        <v>0</v>
      </c>
    </row>
    <row r="25" spans="1:6" ht="91.5">
      <c r="A25" s="77" t="s">
        <v>53</v>
      </c>
      <c r="B25" s="78">
        <f>SUM(LTC!B25,BRCC!B25,BPCC!B25,RPCC!B25,SLCC!B25,LDCC!B25,NUNEZ!B25,DELGADO!B25,FLETCHER!B25,SOWELA!B25,LCTCSBOS!B25)</f>
        <v>0</v>
      </c>
      <c r="C25" s="78">
        <f>SUM(LTC!C25,BRCC!C25,BPCC!C25,RPCC!C25,SLCC!C25,LDCC!C25,NUNEZ!C25,DELGADO!C25,FLETCHER!C25,SOWELA!C25,LCTCSBOS!C25)</f>
        <v>0</v>
      </c>
      <c r="D25" s="78">
        <f>SUM(LTC!D25,BRCC!D25,BPCC!D25,RPCC!D25,SLCC!D25,LDCC!D25,NUNEZ!D25,DELGADO!D25,FLETCHER!D25,SOWELA!D25,LCTCSBOS!D25)</f>
        <v>0</v>
      </c>
      <c r="E25" s="78">
        <f t="shared" si="1"/>
        <v>0</v>
      </c>
      <c r="F25" s="79">
        <f t="shared" si="0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1"/>
        <v>0</v>
      </c>
      <c r="F26" s="75">
        <f t="shared" si="0"/>
        <v>0</v>
      </c>
    </row>
    <row r="27" spans="1:6" ht="91.5">
      <c r="A27" s="77" t="s">
        <v>53</v>
      </c>
      <c r="B27" s="78">
        <f>SUM(LTC!B27,BRCC!B27,BPCC!B27,RPCC!B27,SLCC!B27,LDCC!B27,NUNEZ!B27,DELGADO!B27,FLETCHER!B27,SOWELA!B27,LCTCSBOS!B27)</f>
        <v>0</v>
      </c>
      <c r="C27" s="78">
        <f>SUM(LTC!C27,BRCC!C27,BPCC!C27,RPCC!C27,SLCC!C27,LDCC!C27,NUNEZ!C27,DELGADO!C27,FLETCHER!C27,SOWELA!C27,LCTCSBOS!C27)</f>
        <v>0</v>
      </c>
      <c r="D27" s="78">
        <f>SUM(LTC!D27,BRCC!D27,BPCC!D27,RPCC!D27,SLCC!D27,LDCC!D27,NUNEZ!D27,DELGADO!D27,FLETCHER!D27,SOWELA!D27,LCTCSBOS!D27)</f>
        <v>0</v>
      </c>
      <c r="E27" s="78">
        <f t="shared" si="1"/>
        <v>0</v>
      </c>
      <c r="F27" s="79">
        <f t="shared" si="0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1"/>
        <v>0</v>
      </c>
      <c r="F28" s="79">
        <f t="shared" si="0"/>
        <v>0</v>
      </c>
    </row>
    <row r="29" spans="1:6" s="50" customFormat="1" ht="90">
      <c r="A29" s="76" t="s">
        <v>14</v>
      </c>
      <c r="B29" s="74">
        <f>SUM(B8:B28)-B9</f>
        <v>193113232.99</v>
      </c>
      <c r="C29" s="74">
        <f>SUM(C8:C28)-C9</f>
        <v>193307732</v>
      </c>
      <c r="D29" s="74">
        <f>SUM(D8:D28)-D9</f>
        <v>187620074</v>
      </c>
      <c r="E29" s="74">
        <f t="shared" si="1"/>
        <v>-5687658</v>
      </c>
      <c r="F29" s="75">
        <f t="shared" si="0"/>
        <v>-0.029422816879357935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78</v>
      </c>
      <c r="B31" s="120">
        <f>SUM(LTC!B31,BRCC!B31,BPCC!B31,RPCC!B31,SLCC!B31,LDCC!B31,NUNEZ!B31,DELGADO!B31,FLETCHER!B31,SOWELA!B31,LCTCSBOS!B31)</f>
        <v>-1832188</v>
      </c>
      <c r="C31" s="120">
        <f>SUM(LTC!C31,BRCC!C31,BPCC!C31,RPCC!C31,SLCC!C31,LDCC!C31,NUNEZ!C31,DELGADO!C31,FLETCHER!C31,SOWELA!C31,LCTCSBOS!C31)</f>
        <v>0</v>
      </c>
      <c r="D31" s="120">
        <f>SUM(LTC!D31,BRCC!D31,BPCC!D31,RPCC!D31,SLCC!D31,LDCC!D31,NUNEZ!D31,DELGADO!D31,FLETCHER!D31,SOWELA!D31,LCTCSBOS!D31)</f>
        <v>0</v>
      </c>
      <c r="E31" s="120">
        <f t="shared" si="1"/>
        <v>0</v>
      </c>
      <c r="F31" s="132">
        <f>IF(ISERROR(E31/C31),0,(E31/C31))</f>
        <v>0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f>SUM(LTC!B33,BRCC!B33,BPCC!B33,RPCC!B33,SLCC!B33,LDCC!B33,NUNEZ!B33,DELGADO!B33,FLETCHER!B33,SOWELA!B33,LCTCSBOS!B33)</f>
        <v>0</v>
      </c>
      <c r="C33" s="120">
        <f>SUM(LTC!C33,BRCC!C33,BPCC!C33,RPCC!C33,SLCC!C33,LDCC!C33,NUNEZ!C33,DELGADO!C33,FLETCHER!C33,SOWELA!C33,LCTCSBOS!C33)</f>
        <v>10944884</v>
      </c>
      <c r="D33" s="120">
        <f>SUM(LTC!D33,BRCC!D33,BPCC!D33,RPCC!D33,SLCC!D33,LDCC!D33,NUNEZ!D33,DELGADO!D33,FLETCHER!D33,SOWELA!D33,LCTCSBOS!D33)</f>
        <v>10944884</v>
      </c>
      <c r="E33" s="120">
        <f t="shared" si="1"/>
        <v>0</v>
      </c>
      <c r="F33" s="136">
        <f>IF(ISERROR(E33/C33),0,(E33/C33))</f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f>SUM(LTC!B35,BRCC!B35,BPCC!B35,RPCC!B35,SLCC!B35,LDCC!B35,NUNEZ!B35,DELGADO!B35,FLETCHER!B35,SOWELA!B35,LCTCSBOS!B35)</f>
        <v>62270931.62</v>
      </c>
      <c r="C35" s="120">
        <f>SUM(LTC!C35,BRCC!C35,BPCC!C35,RPCC!C35,SLCC!C35,LDCC!C35,NUNEZ!C35,DELGADO!C35,FLETCHER!C35,SOWELA!C35,LCTCSBOS!C35)</f>
        <v>76493484</v>
      </c>
      <c r="D35" s="120">
        <f>SUM(LTC!D35,BRCC!D35,BPCC!D35,RPCC!D35,SLCC!D35,LDCC!D35,NUNEZ!D35,DELGADO!D35,FLETCHER!D35,SOWELA!D35,LCTCSBOS!D35)</f>
        <v>75822289</v>
      </c>
      <c r="E35" s="120">
        <f t="shared" si="1"/>
        <v>-671195</v>
      </c>
      <c r="F35" s="136">
        <f>IF(ISERROR(E35/C35),0,(E35/C35))</f>
        <v>-0.008774538233871006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f>SUM(LTC!B37,BRCC!B37,BPCC!B37,RPCC!B37,SLCC!B37,LDCC!B37,NUNEZ!B37,DELGADO!B37,FLETCHER!B37,SOWELA!B37,LCTCSBOS!B37)</f>
        <v>44680894.230000004</v>
      </c>
      <c r="C37" s="120">
        <f>SUM(LTC!C37,BRCC!C37,BPCC!C37,RPCC!C37,SLCC!C37,LDCC!C37,NUNEZ!C37,DELGADO!C37,FLETCHER!C37,SOWELA!C37,LCTCSBOS!C37)</f>
        <v>50655776</v>
      </c>
      <c r="D37" s="120">
        <f>SUM(LTC!D37,BRCC!D37,BPCC!D37,RPCC!D37,SLCC!D37,LDCC!D37,NUNEZ!D37,DELGADO!D37,FLETCHER!D37,SOWELA!D37,LCTCSBOS!D37)</f>
        <v>50655776</v>
      </c>
      <c r="E37" s="120">
        <f t="shared" si="1"/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B37+B35+B33+B31+B29</f>
        <v>298232870.84000003</v>
      </c>
      <c r="C39" s="120">
        <f>C37+C35+C33+C31+C29</f>
        <v>331401876</v>
      </c>
      <c r="D39" s="120">
        <f>D37+D35+D33+D31+D29+1</f>
        <v>325043024</v>
      </c>
      <c r="E39" s="120">
        <f t="shared" si="1"/>
        <v>-6358852</v>
      </c>
      <c r="F39" s="136">
        <f>IF(ISERROR(E39/C39),0,(E39/C39))</f>
        <v>-0.01918773688535185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f>SUM(LTC!B41,BRCC!B41,BPCC!B41,RPCC!B41,SLCC!B41,LDCC!B41,NUNEZ!B41,DELGADO!B41,FLETCHER!B41,SOWELA!B41,LCTCSBOS!B41)</f>
        <v>109004213.77300002</v>
      </c>
      <c r="C41" s="138">
        <f>SUM(LTC!C41,BRCC!C41,BPCC!C41,RPCC!C41,SLCC!C41,LDCC!C41,NUNEZ!C41,DELGADO!C41,FLETCHER!C41,SOWELA!C41,LCTCSBOS!C41)</f>
        <v>117201908.09</v>
      </c>
      <c r="D41" s="138">
        <f>SUM(LTC!D41,BRCC!D41,BPCC!D41,RPCC!D41,SLCC!D41,LDCC!D41,NUNEZ!D41,DELGADO!D41,FLETCHER!D41,SOWELA!D41,LCTCSBOS!D41)</f>
        <v>128590765.52541536</v>
      </c>
      <c r="E41" s="138">
        <f t="shared" si="1"/>
        <v>11388857.435415357</v>
      </c>
      <c r="F41" s="139">
        <f aca="true" t="shared" si="2" ref="F41:F54">IF(ISERROR(E41/C41),0,(E41/C41))</f>
        <v>0.09717296945942032</v>
      </c>
    </row>
    <row r="42" spans="1:6" ht="91.5">
      <c r="A42" s="77" t="s">
        <v>20</v>
      </c>
      <c r="B42" s="78">
        <f>SUM(LTC!B42,BRCC!B42,BPCC!B42,RPCC!B42,SLCC!B42,LDCC!B42,NUNEZ!B42,DELGADO!B42,FLETCHER!B42,SOWELA!B42,LCTCSBOS!B42)</f>
        <v>0</v>
      </c>
      <c r="C42" s="78">
        <f>SUM(LTC!C42,BRCC!C42,BPCC!C42,RPCC!C42,SLCC!C42,LDCC!C42,NUNEZ!C42,DELGADO!C42,FLETCHER!C42,SOWELA!C42,LCTCSBOS!C42)</f>
        <v>0</v>
      </c>
      <c r="D42" s="78">
        <f>SUM(LTC!D42,BRCC!D42,BPCC!D42,RPCC!D42,SLCC!D42,LDCC!D42,NUNEZ!D42,DELGADO!D42,FLETCHER!D42,SOWELA!D42,LCTCSBOS!D42)</f>
        <v>0</v>
      </c>
      <c r="E42" s="78">
        <f t="shared" si="1"/>
        <v>0</v>
      </c>
      <c r="F42" s="92">
        <f t="shared" si="2"/>
        <v>0</v>
      </c>
    </row>
    <row r="43" spans="1:6" ht="91.5">
      <c r="A43" s="80" t="s">
        <v>21</v>
      </c>
      <c r="B43" s="78">
        <f>SUM(LTC!B43,BRCC!B43,BPCC!B43,RPCC!B43,SLCC!B43,LDCC!B43,NUNEZ!B43,DELGADO!B43,FLETCHER!B43,SOWELA!B43,LCTCSBOS!B43)</f>
        <v>319687.19</v>
      </c>
      <c r="C43" s="78">
        <f>SUM(LTC!C43,BRCC!C43,BPCC!C43,RPCC!C43,SLCC!C43,LDCC!C43,NUNEZ!C43,DELGADO!C43,FLETCHER!C43,SOWELA!C43,LCTCSBOS!C43)</f>
        <v>506006</v>
      </c>
      <c r="D43" s="78">
        <f>SUM(LTC!D43,BRCC!D43,BPCC!D43,RPCC!D43,SLCC!D43,LDCC!D43,NUNEZ!D43,DELGADO!D43,FLETCHER!D43,SOWELA!D43,LCTCSBOS!D43)</f>
        <v>587369</v>
      </c>
      <c r="E43" s="78">
        <f t="shared" si="1"/>
        <v>81363</v>
      </c>
      <c r="F43" s="90">
        <f t="shared" si="2"/>
        <v>0.16079453603316957</v>
      </c>
    </row>
    <row r="44" spans="1:6" ht="91.5">
      <c r="A44" s="80" t="s">
        <v>49</v>
      </c>
      <c r="B44" s="78">
        <f>SUM(LTC!B44,BRCC!B44,BPCC!B44,RPCC!B44,SLCC!B44,LDCC!B44,NUNEZ!B44,DELGADO!B44,FLETCHER!B44,SOWELA!B44,LCTCSBOS!B44)</f>
        <v>48562187.54000001</v>
      </c>
      <c r="C44" s="78">
        <f>SUM(LTC!C44,BRCC!C44,BPCC!C44,RPCC!C44,SLCC!C44,LDCC!C44,NUNEZ!C44,DELGADO!C44,FLETCHER!C44,SOWELA!C44,LCTCSBOS!C44)</f>
        <v>56745255.010000005</v>
      </c>
      <c r="D44" s="78">
        <f>SUM(LTC!D44,BRCC!D44,BPCC!D44,RPCC!D44,SLCC!D44,LDCC!D44,NUNEZ!D44,DELGADO!D44,FLETCHER!D44,SOWELA!D44,LCTCSBOS!D44)</f>
        <v>48615288.22</v>
      </c>
      <c r="E44" s="78">
        <f t="shared" si="1"/>
        <v>-8129966.790000007</v>
      </c>
      <c r="F44" s="90">
        <f t="shared" si="2"/>
        <v>-0.1432713059191873</v>
      </c>
    </row>
    <row r="45" spans="1:6" ht="91.5">
      <c r="A45" s="80" t="s">
        <v>22</v>
      </c>
      <c r="B45" s="78">
        <f>SUM(LTC!B45,BRCC!B45,BPCC!B45,RPCC!B45,SLCC!B45,LDCC!B45,NUNEZ!B45,DELGADO!B45,FLETCHER!B45,SOWELA!B45,LCTCSBOS!B45)</f>
        <v>15604822.831</v>
      </c>
      <c r="C45" s="78">
        <f>SUM(LTC!C45,BRCC!C45,BPCC!C45,RPCC!C45,SLCC!C45,LDCC!C45,NUNEZ!C45,DELGADO!C45,FLETCHER!C45,SOWELA!C45,LCTCSBOS!C45)</f>
        <v>16370426.62</v>
      </c>
      <c r="D45" s="78">
        <f>SUM(LTC!D45,BRCC!D45,BPCC!D45,RPCC!D45,SLCC!D45,LDCC!D45,NUNEZ!D45,DELGADO!D45,FLETCHER!D45,SOWELA!D45,LCTCSBOS!D45)</f>
        <v>18396721.54</v>
      </c>
      <c r="E45" s="78">
        <f t="shared" si="1"/>
        <v>2026294.92</v>
      </c>
      <c r="F45" s="90">
        <f t="shared" si="2"/>
        <v>0.1237777711623254</v>
      </c>
    </row>
    <row r="46" spans="1:6" ht="91.5">
      <c r="A46" s="80" t="s">
        <v>23</v>
      </c>
      <c r="B46" s="78">
        <f>SUM(LTC!B46,BRCC!B46,BPCC!B46,RPCC!B46,SLCC!B46,LDCC!B46,NUNEZ!B46,DELGADO!B46,FLETCHER!B46,SOWELA!B46,LCTCSBOS!B46)</f>
        <v>50137592.36000001</v>
      </c>
      <c r="C46" s="78">
        <f>SUM(LTC!C46,BRCC!C46,BPCC!C46,RPCC!C46,SLCC!C46,LDCC!C46,NUNEZ!C46,DELGADO!C46,FLETCHER!C46,SOWELA!C46,LCTCSBOS!C46)</f>
        <v>53365523.05</v>
      </c>
      <c r="D46" s="78">
        <f>SUM(LTC!D46,BRCC!D46,BPCC!D46,RPCC!D46,SLCC!D46,LDCC!D46,NUNEZ!D46,DELGADO!D46,FLETCHER!D46,SOWELA!D46,LCTCSBOS!D46)</f>
        <v>58259273.901070006</v>
      </c>
      <c r="E46" s="78">
        <f t="shared" si="1"/>
        <v>4893750.851070009</v>
      </c>
      <c r="F46" s="90">
        <f t="shared" si="2"/>
        <v>0.09170248076618466</v>
      </c>
    </row>
    <row r="47" spans="1:6" ht="91.5">
      <c r="A47" s="80" t="s">
        <v>24</v>
      </c>
      <c r="B47" s="78">
        <f>SUM(LTC!B47,BRCC!B47,BPCC!B47,RPCC!B47,SLCC!B47,LDCC!B47,NUNEZ!B47,DELGADO!B47,FLETCHER!B47,SOWELA!B47,LCTCSBOS!B47)</f>
        <v>3415260.55</v>
      </c>
      <c r="C47" s="78">
        <f>SUM(LTC!C47,BRCC!C47,BPCC!C47,RPCC!C47,SLCC!C47,LDCC!C47,NUNEZ!C47,DELGADO!C47,FLETCHER!C47,SOWELA!C47,LCTCSBOS!C47)</f>
        <v>3231659.89</v>
      </c>
      <c r="D47" s="78">
        <f>SUM(LTC!D47,BRCC!D47,BPCC!D47,RPCC!D47,SLCC!D47,LDCC!D47,NUNEZ!D47,DELGADO!D47,FLETCHER!D47,SOWELA!D47,LCTCSBOS!D47)</f>
        <v>2539782</v>
      </c>
      <c r="E47" s="78">
        <f t="shared" si="1"/>
        <v>-691877.8900000001</v>
      </c>
      <c r="F47" s="90">
        <f t="shared" si="2"/>
        <v>-0.21409365884724957</v>
      </c>
    </row>
    <row r="48" spans="1:6" ht="91.5">
      <c r="A48" s="80" t="s">
        <v>25</v>
      </c>
      <c r="B48" s="78">
        <f>SUM(LTC!B48,BRCC!B48,BPCC!B48,RPCC!B48,SLCC!B48,LDCC!B48,NUNEZ!B48,DELGADO!B48,FLETCHER!B48,SOWELA!B48,LCTCSBOS!B48)</f>
        <v>30776407.500000004</v>
      </c>
      <c r="C48" s="78">
        <f>SUM(LTC!C48,BRCC!C48,BPCC!C48,RPCC!C48,SLCC!C48,LDCC!C48,NUNEZ!C48,DELGADO!C48,FLETCHER!C48,SOWELA!C48,LCTCSBOS!C48)</f>
        <v>31112477.82</v>
      </c>
      <c r="D48" s="78">
        <f>SUM(LTC!D48,BRCC!D48,BPCC!D48,RPCC!D48,SLCC!D48,LDCC!D48,NUNEZ!D48,DELGADO!D48,FLETCHER!D48,SOWELA!D48,LCTCSBOS!D48)</f>
        <v>30971598.736769233</v>
      </c>
      <c r="E48" s="78">
        <f t="shared" si="1"/>
        <v>-140879.0832307674</v>
      </c>
      <c r="F48" s="90">
        <f t="shared" si="2"/>
        <v>-0.0045280573294681865</v>
      </c>
    </row>
    <row r="49" spans="1:6" s="50" customFormat="1" ht="90">
      <c r="A49" s="76" t="s">
        <v>26</v>
      </c>
      <c r="B49" s="74">
        <f>SUM(B41:B48)</f>
        <v>257820171.74400005</v>
      </c>
      <c r="C49" s="74">
        <f>SUM(LTC!C49,BRCC!C49,BPCC!C49,RPCC!C49,SLCC!C49,LDCC!C49,NUNEZ!C49,DELGADO!C49,FLETCHER!C49,SOWELA!C49,LCTCSBOS!C49)</f>
        <v>278533256.48</v>
      </c>
      <c r="D49" s="74">
        <f>SUM(LTC!D49,BRCC!D49,BPCC!D49,RPCC!D49,SLCC!D49,LDCC!D49,NUNEZ!D49,DELGADO!D49,FLETCHER!D49,SOWELA!D49,LCTCSBOS!D49)</f>
        <v>287960798.9232546</v>
      </c>
      <c r="E49" s="74">
        <f t="shared" si="1"/>
        <v>9427542.44325459</v>
      </c>
      <c r="F49" s="87">
        <f t="shared" si="2"/>
        <v>0.033847098053555166</v>
      </c>
    </row>
    <row r="50" spans="1:6" ht="91.5">
      <c r="A50" s="140" t="s">
        <v>27</v>
      </c>
      <c r="B50" s="129">
        <f>SUM(LTC!B50,BRCC!B50,BPCC!B50,RPCC!B50,SLCC!B50,LDCC!B50,NUNEZ!B50,DELGADO!B50,FLETCHER!B50,SOWELA!B50,LCTCSBOS!B50)</f>
        <v>0</v>
      </c>
      <c r="C50" s="129">
        <f>SUM(LTC!C50,BRCC!C50,BPCC!C50,RPCC!C50,SLCC!C50,LDCC!C50,NUNEZ!C50,DELGADO!C50,FLETCHER!C50,SOWELA!C50,LCTCSBOS!C50)</f>
        <v>0</v>
      </c>
      <c r="D50" s="129">
        <f>SUM(LTC!D50,BRCC!D50,BPCC!D50,RPCC!D50,SLCC!D50,LDCC!D50,NUNEZ!D50,DELGADO!D50,FLETCHER!D50,SOWELA!D50,LCTCSBOS!D50)</f>
        <v>0</v>
      </c>
      <c r="E50" s="129">
        <f t="shared" si="1"/>
        <v>0</v>
      </c>
      <c r="F50" s="90">
        <f t="shared" si="2"/>
        <v>0</v>
      </c>
    </row>
    <row r="51" spans="1:6" ht="91.5">
      <c r="A51" s="80" t="s">
        <v>28</v>
      </c>
      <c r="B51" s="78">
        <f>SUM(LTC!B51,BRCC!B51,BPCC!B51,RPCC!B51,SLCC!B51,LDCC!B51,NUNEZ!B51,DELGADO!B51,FLETCHER!B51,SOWELA!B51,LCTCSBOS!B51)</f>
        <v>1281879.8</v>
      </c>
      <c r="C51" s="78">
        <f>SUM(LTC!C51,BRCC!C51,BPCC!C51,RPCC!C51,SLCC!C51,LDCC!C51,NUNEZ!C51,DELGADO!C51,FLETCHER!C51,SOWELA!C51,LCTCSBOS!C51)</f>
        <v>1713869.8</v>
      </c>
      <c r="D51" s="78">
        <f>SUM(LTC!D51,BRCC!D51,BPCC!D51,RPCC!D51,SLCC!D51,LDCC!D51,NUNEZ!D51,DELGADO!D51,FLETCHER!D51,SOWELA!D51,LCTCSBOS!D51)</f>
        <v>1285376</v>
      </c>
      <c r="E51" s="78">
        <f t="shared" si="1"/>
        <v>-428493.80000000005</v>
      </c>
      <c r="F51" s="90">
        <f t="shared" si="2"/>
        <v>-0.2500153745634587</v>
      </c>
    </row>
    <row r="52" spans="1:6" ht="91.5">
      <c r="A52" s="80" t="s">
        <v>29</v>
      </c>
      <c r="B52" s="78">
        <f>SUM(LTC!B52,BRCC!B52,BPCC!B52,RPCC!B52,SLCC!B52,LDCC!B52,NUNEZ!B52,DELGADO!B52,FLETCHER!B52,SOWELA!B52,LCTCSBOS!B52)</f>
        <v>640124</v>
      </c>
      <c r="C52" s="78">
        <f>SUM(LTC!C52,BRCC!C52,BPCC!C52,RPCC!C52,SLCC!C52,LDCC!C52,NUNEZ!C52,DELGADO!C52,FLETCHER!C52,SOWELA!C52,LCTCSBOS!C52)</f>
        <v>636026</v>
      </c>
      <c r="D52" s="78">
        <f>SUM(LTC!D52,BRCC!D52,BPCC!D52,RPCC!D52,SLCC!D52,LDCC!D52,NUNEZ!D52,DELGADO!D52,FLETCHER!D52,SOWELA!D52,LCTCSBOS!D52)</f>
        <v>667783</v>
      </c>
      <c r="E52" s="78">
        <f t="shared" si="1"/>
        <v>31757</v>
      </c>
      <c r="F52" s="90">
        <f t="shared" si="2"/>
        <v>0.04993034875932745</v>
      </c>
    </row>
    <row r="53" spans="1:6" ht="91.5">
      <c r="A53" s="80" t="s">
        <v>30</v>
      </c>
      <c r="B53" s="78">
        <f>SUM(LTC!B53,BRCC!B53,BPCC!B53,RPCC!B53,SLCC!B53,LDCC!B53,NUNEZ!B53,DELGADO!B53,FLETCHER!B53,SOWELA!B53,LCTCSBOS!B53)</f>
        <v>38490691</v>
      </c>
      <c r="C53" s="78">
        <f>SUM(LTC!C53,BRCC!C53,BPCC!C53,RPCC!C53,SLCC!C53,LDCC!C53,NUNEZ!C53,DELGADO!C53,FLETCHER!C53,SOWELA!C53,LCTCSBOS!C53)</f>
        <v>50518723</v>
      </c>
      <c r="D53" s="78">
        <f>SUM(LTC!D53,BRCC!D53,BPCC!D53,RPCC!D53,SLCC!D53,LDCC!D53,NUNEZ!D53,DELGADO!D53,FLETCHER!D53,SOWELA!D53,LCTCSBOS!D53)</f>
        <v>35129070</v>
      </c>
      <c r="E53" s="78">
        <f t="shared" si="1"/>
        <v>-15389653</v>
      </c>
      <c r="F53" s="90">
        <f t="shared" si="2"/>
        <v>-0.3046326606474198</v>
      </c>
    </row>
    <row r="54" spans="1:6" s="50" customFormat="1" ht="90">
      <c r="A54" s="148" t="s">
        <v>31</v>
      </c>
      <c r="B54" s="74">
        <f>SUM(B49:B53)+4</f>
        <v>298232870.544</v>
      </c>
      <c r="C54" s="74">
        <f>SUM(C49:C53)+1</f>
        <v>331401876.28000003</v>
      </c>
      <c r="D54" s="74">
        <f>SUM(D49:D53)-4</f>
        <v>325043023.9232546</v>
      </c>
      <c r="E54" s="74">
        <f t="shared" si="1"/>
        <v>-6358852.356745422</v>
      </c>
      <c r="F54" s="161">
        <f t="shared" si="2"/>
        <v>-0.019187737945613965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f>SUM(LTC!B56,BRCC!B56,BPCC!B56,RPCC!B56,SLCC!B56,LDCC!B56,NUNEZ!B56,DELGADO!B56,FLETCHER!B56,SOWELA!B56,LCTCSBOS!B56)</f>
        <v>126128249.96</v>
      </c>
      <c r="C56" s="78">
        <f>SUM(LTC!C56,BRCC!C56,BPCC!C56,RPCC!C56,SLCC!C56,LDCC!C56,NUNEZ!C56,DELGADO!C56,FLETCHER!C56,SOWELA!C56,LCTCSBOS!C56)</f>
        <v>136516304.29</v>
      </c>
      <c r="D56" s="78">
        <f>SUM(LTC!D56,BRCC!D56,BPCC!D56,RPCC!D56,SLCC!D56,LDCC!D56,NUNEZ!D56,DELGADO!D56,FLETCHER!D56,SOWELA!D56,LCTCSBOS!D56)</f>
        <v>152027951.6893846</v>
      </c>
      <c r="E56" s="78">
        <f t="shared" si="1"/>
        <v>15511647.399384618</v>
      </c>
      <c r="F56" s="92">
        <f aca="true" t="shared" si="3" ref="F56:F73">IF(ISERROR(E56/C56),0,(E56/C56))</f>
        <v>0.11362487052413466</v>
      </c>
    </row>
    <row r="57" spans="1:6" ht="91.5">
      <c r="A57" s="80" t="s">
        <v>34</v>
      </c>
      <c r="B57" s="78">
        <f>SUM(LTC!B57,BRCC!B57,BPCC!B57,RPCC!B57,SLCC!B57,LDCC!B57,NUNEZ!B57,DELGADO!B57,FLETCHER!B57,SOWELA!B57,LCTCSBOS!B57)</f>
        <v>4713225.99</v>
      </c>
      <c r="C57" s="78">
        <f>SUM(LTC!C57,BRCC!C57,BPCC!C57,RPCC!C57,SLCC!C57,LDCC!C57,NUNEZ!C57,DELGADO!C57,FLETCHER!C57,SOWELA!C57,LCTCSBOS!C57)</f>
        <v>5156814.909999999</v>
      </c>
      <c r="D57" s="78">
        <f>SUM(LTC!D57,BRCC!D57,BPCC!D57,RPCC!D57,SLCC!D57,LDCC!D57,NUNEZ!D57,DELGADO!D57,FLETCHER!D57,SOWELA!D57,LCTCSBOS!D57)</f>
        <v>4614607.51</v>
      </c>
      <c r="E57" s="78">
        <f t="shared" si="1"/>
        <v>-542207.3999999994</v>
      </c>
      <c r="F57" s="90">
        <f t="shared" si="3"/>
        <v>-0.10514385516310872</v>
      </c>
    </row>
    <row r="58" spans="1:6" ht="91.5">
      <c r="A58" s="80" t="s">
        <v>35</v>
      </c>
      <c r="B58" s="78">
        <f>SUM(LTC!B58,BRCC!B58,BPCC!B58,RPCC!B58,SLCC!B58,LDCC!B58,NUNEZ!B58,DELGADO!B58,FLETCHER!B58,SOWELA!B58,LCTCSBOS!B58)</f>
        <v>39227401.06299999</v>
      </c>
      <c r="C58" s="78">
        <f>SUM(LTC!C58,BRCC!C58,BPCC!C58,RPCC!C58,SLCC!C58,LDCC!C58,NUNEZ!C58,DELGADO!C58,FLETCHER!C58,SOWELA!C58,LCTCSBOS!C58)</f>
        <v>40758925.489999995</v>
      </c>
      <c r="D58" s="78">
        <f>SUM(LTC!D58,BRCC!D58,BPCC!D58,RPCC!D58,SLCC!D58,LDCC!D58,NUNEZ!D58,DELGADO!D58,FLETCHER!D58,SOWELA!D58,LCTCSBOS!D58)</f>
        <v>45593896.3048</v>
      </c>
      <c r="E58" s="78">
        <f t="shared" si="1"/>
        <v>4834970.814800002</v>
      </c>
      <c r="F58" s="90">
        <f t="shared" si="3"/>
        <v>0.11862360836735597</v>
      </c>
    </row>
    <row r="59" spans="1:6" ht="91.5">
      <c r="A59" s="93" t="s">
        <v>36</v>
      </c>
      <c r="B59" s="96">
        <f>SUM(B56:B58)</f>
        <v>170068877.01299998</v>
      </c>
      <c r="C59" s="96">
        <f>SUM(C56:C58)</f>
        <v>182432044.69</v>
      </c>
      <c r="D59" s="96">
        <f>SUM(D56:D58)</f>
        <v>202236455.5041846</v>
      </c>
      <c r="E59" s="96">
        <f t="shared" si="1"/>
        <v>19804410.814184606</v>
      </c>
      <c r="F59" s="97">
        <f t="shared" si="3"/>
        <v>0.1085577418585507</v>
      </c>
    </row>
    <row r="60" spans="1:6" ht="91.5">
      <c r="A60" s="80" t="s">
        <v>37</v>
      </c>
      <c r="B60" s="78">
        <f>SUM(LTC!B60,BRCC!B60,BPCC!B60,RPCC!B60,SLCC!B60,LDCC!B60,NUNEZ!B60,DELGADO!B60,FLETCHER!B60,SOWELA!B60,LCTCSBOS!B60)</f>
        <v>1592401.77</v>
      </c>
      <c r="C60" s="78">
        <f>SUM(LTC!C60,BRCC!C60,BPCC!C60,RPCC!C60,SLCC!C60,LDCC!C60,NUNEZ!C60,DELGADO!C60,FLETCHER!C60,SOWELA!C60,LCTCSBOS!C60)</f>
        <v>1728077.23</v>
      </c>
      <c r="D60" s="78">
        <f>SUM(LTC!D60,BRCC!D60,BPCC!D60,RPCC!D60,SLCC!D60,LDCC!D60,NUNEZ!D60,DELGADO!D60,FLETCHER!D60,SOWELA!D60,LCTCSBOS!D60)</f>
        <v>1864968.3</v>
      </c>
      <c r="E60" s="78">
        <f t="shared" si="1"/>
        <v>136891.07000000007</v>
      </c>
      <c r="F60" s="90">
        <f t="shared" si="3"/>
        <v>0.07921582879718869</v>
      </c>
    </row>
    <row r="61" spans="1:6" ht="91.5">
      <c r="A61" s="80" t="s">
        <v>38</v>
      </c>
      <c r="B61" s="78">
        <f>SUM(LTC!B61,BRCC!B61,BPCC!B61,RPCC!B61,SLCC!B61,LDCC!B61,NUNEZ!B61,DELGADO!B61,FLETCHER!B61,SOWELA!B61,LCTCSBOS!B61)</f>
        <v>29882591.61</v>
      </c>
      <c r="C61" s="78">
        <f>SUM(LTC!C61,BRCC!C61,BPCC!C61,RPCC!C61,SLCC!C61,LDCC!C61,NUNEZ!C61,DELGADO!C61,FLETCHER!C61,SOWELA!C61,LCTCSBOS!C61)</f>
        <v>29233912.12</v>
      </c>
      <c r="D61" s="78">
        <f>SUM(LTC!D61,BRCC!D61,BPCC!D61,RPCC!D61,SLCC!D61,LDCC!D61,NUNEZ!D61,DELGADO!D61,FLETCHER!D61,SOWELA!D61,LCTCSBOS!D61)</f>
        <v>27895432.219070002</v>
      </c>
      <c r="E61" s="78">
        <f t="shared" si="1"/>
        <v>-1338479.9009299986</v>
      </c>
      <c r="F61" s="90">
        <f t="shared" si="3"/>
        <v>-0.045785179056288365</v>
      </c>
    </row>
    <row r="62" spans="1:6" ht="91.5">
      <c r="A62" s="80" t="s">
        <v>39</v>
      </c>
      <c r="B62" s="78">
        <f>SUM(LTC!B62,BRCC!B62,BPCC!B62,RPCC!B62,SLCC!B62,LDCC!B62,NUNEZ!B62,DELGADO!B62,FLETCHER!B62,SOWELA!B62,LCTCSBOS!B62)</f>
        <v>7143764.089999999</v>
      </c>
      <c r="C62" s="78">
        <f>SUM(LTC!C62,BRCC!C62,BPCC!C62,RPCC!C62,SLCC!C62,LDCC!C62,NUNEZ!C62,DELGADO!C62,FLETCHER!C62,SOWELA!C62,LCTCSBOS!C62)</f>
        <v>8558165.73</v>
      </c>
      <c r="D62" s="78">
        <f>SUM(LTC!D62,BRCC!D62,BPCC!D62,RPCC!D62,SLCC!D62,LDCC!D62,NUNEZ!D62,DELGADO!D62,FLETCHER!D62,SOWELA!D62,LCTCSBOS!D62)</f>
        <v>8359448.290000001</v>
      </c>
      <c r="E62" s="78">
        <f t="shared" si="1"/>
        <v>-198717.43999999948</v>
      </c>
      <c r="F62" s="90">
        <f t="shared" si="3"/>
        <v>-0.02321962979793796</v>
      </c>
    </row>
    <row r="63" spans="1:6" ht="91.5">
      <c r="A63" s="76" t="s">
        <v>40</v>
      </c>
      <c r="B63" s="83">
        <f>SUM(B60:B62)</f>
        <v>38618757.47</v>
      </c>
      <c r="C63" s="83">
        <f>SUM(C60:C62)</f>
        <v>39520155.08</v>
      </c>
      <c r="D63" s="83">
        <f>SUM(D60:D62)</f>
        <v>38119848.809070006</v>
      </c>
      <c r="E63" s="83">
        <f t="shared" si="1"/>
        <v>-1400306.2709299922</v>
      </c>
      <c r="F63" s="87">
        <f t="shared" si="3"/>
        <v>-0.03543271194395304</v>
      </c>
    </row>
    <row r="64" spans="1:6" ht="91.5">
      <c r="A64" s="80" t="s">
        <v>41</v>
      </c>
      <c r="B64" s="78">
        <f>SUM(LTC!B64,BRCC!B64,BPCC!B64,RPCC!B64,SLCC!B64,LDCC!B64,NUNEZ!B64,DELGADO!B64,FLETCHER!B64,SOWELA!B64,LCTCSBOS!B64)</f>
        <v>3381639.5100000002</v>
      </c>
      <c r="C64" s="78">
        <f>SUM(LTC!C64,BRCC!C64,BPCC!C64,RPCC!C64,SLCC!C64,LDCC!C64,NUNEZ!C64,DELGADO!C64,FLETCHER!C64,SOWELA!C64,LCTCSBOS!C64)</f>
        <v>3782706.37</v>
      </c>
      <c r="D64" s="78">
        <f>SUM(LTC!D64,BRCC!D64,BPCC!D64,RPCC!D64,SLCC!D64,LDCC!D64,NUNEZ!D64,DELGADO!D64,FLETCHER!D64,SOWELA!D64,LCTCSBOS!D64)</f>
        <v>3731833.27</v>
      </c>
      <c r="E64" s="78">
        <f t="shared" si="1"/>
        <v>-50873.10000000009</v>
      </c>
      <c r="F64" s="90">
        <f t="shared" si="3"/>
        <v>-0.013448863068903784</v>
      </c>
    </row>
    <row r="65" spans="1:6" ht="91.5">
      <c r="A65" s="80" t="s">
        <v>42</v>
      </c>
      <c r="B65" s="78">
        <f>SUM(LTC!B65,BRCC!B65,BPCC!B65,RPCC!B65,SLCC!B65,LDCC!B65,NUNEZ!B65,DELGADO!B65,FLETCHER!B65,SOWELA!B65,LCTCSBOS!B65)</f>
        <v>59905820.85</v>
      </c>
      <c r="C65" s="78">
        <f>SUM(LTC!C65,BRCC!C65,BPCC!C65,RPCC!C65,SLCC!C65,LDCC!C65,NUNEZ!C65,DELGADO!C65,FLETCHER!C65,SOWELA!C65,LCTCSBOS!C65)</f>
        <v>78931894.36</v>
      </c>
      <c r="D65" s="78">
        <f>SUM(LTC!D65,BRCC!D65,BPCC!D65,RPCC!D65,SLCC!D65,LDCC!D65,NUNEZ!D65,DELGADO!D65,FLETCHER!D65,SOWELA!D65,LCTCSBOS!D65)</f>
        <v>74533100.64</v>
      </c>
      <c r="E65" s="78">
        <f t="shared" si="1"/>
        <v>-4398793.719999999</v>
      </c>
      <c r="F65" s="90">
        <f t="shared" si="3"/>
        <v>-0.055728976932158336</v>
      </c>
    </row>
    <row r="66" spans="1:6" ht="91.5">
      <c r="A66" s="80" t="s">
        <v>43</v>
      </c>
      <c r="B66" s="78">
        <f>SUM(LTC!B66,BRCC!B66,BPCC!B66,RPCC!B66,SLCC!B66,LDCC!B66,NUNEZ!B66,DELGADO!B66,FLETCHER!B66,SOWELA!B66,LCTCSBOS!B66,)</f>
        <v>0</v>
      </c>
      <c r="C66" s="78">
        <f>SUM(LTC!C66,BRCC!C66,BPCC!C66,RPCC!C66,SLCC!C66,LDCC!C66,NUNEZ!C66,DELGADO!C66,FLETCHER!C66,SOWELA!C66,LCTCSBOS!C66,)</f>
        <v>500</v>
      </c>
      <c r="D66" s="78">
        <f>SUM(LTC!D66,BRCC!D66,BPCC!D66,RPCC!D66,SLCC!D66,LDCC!D66,NUNEZ!D66,DELGADO!D66,FLETCHER!D66,SOWELA!D66,LCTCSBOS!D66,)</f>
        <v>0</v>
      </c>
      <c r="E66" s="78">
        <f t="shared" si="1"/>
        <v>-500</v>
      </c>
      <c r="F66" s="90">
        <f t="shared" si="3"/>
        <v>-1</v>
      </c>
    </row>
    <row r="67" spans="1:6" ht="91.5">
      <c r="A67" s="80" t="s">
        <v>44</v>
      </c>
      <c r="B67" s="78">
        <f>SUM(LTC!B67,BRCC!B67,BPCC!B67,RPCC!B67,SLCC!B67,LDCC!B67,NUNEZ!B67,DELGADO!B67,FLETCHER!B67,SOWELA!B67,LCTCSBOS!B67)</f>
        <v>19646529.4</v>
      </c>
      <c r="C67" s="78">
        <f>SUM(LTC!C67,BRCC!C67,BPCC!C67,RPCC!C67,SLCC!C67,LDCC!C67,NUNEZ!C67,DELGADO!C67,FLETCHER!C67,SOWELA!C67,LCTCSBOS!C67)</f>
        <v>19959832.4</v>
      </c>
      <c r="D67" s="78">
        <f>SUM(LTC!D67,BRCC!D67,BPCC!D67,RPCC!D67,SLCC!D67,LDCC!D67,NUNEZ!D67,DELGADO!D67,FLETCHER!D67,SOWELA!D67,LCTCSBOS!D67)</f>
        <v>1516322</v>
      </c>
      <c r="E67" s="78">
        <f t="shared" si="1"/>
        <v>-18443510.4</v>
      </c>
      <c r="F67" s="90">
        <f t="shared" si="3"/>
        <v>-0.9240313260345814</v>
      </c>
    </row>
    <row r="68" spans="1:6" ht="91.5">
      <c r="A68" s="76" t="s">
        <v>45</v>
      </c>
      <c r="B68" s="85">
        <f>SUM(B64:B67)</f>
        <v>82933989.75999999</v>
      </c>
      <c r="C68" s="85">
        <f>SUM(C64:C67)</f>
        <v>102674933.13</v>
      </c>
      <c r="D68" s="85">
        <f>SUM(D64:D67)</f>
        <v>79781255.91</v>
      </c>
      <c r="E68" s="85">
        <f t="shared" si="1"/>
        <v>-22893677.22</v>
      </c>
      <c r="F68" s="87">
        <f t="shared" si="3"/>
        <v>-0.22297240935149756</v>
      </c>
    </row>
    <row r="69" spans="1:6" ht="91.5">
      <c r="A69" s="80" t="s">
        <v>57</v>
      </c>
      <c r="B69" s="78">
        <f>SUM(LTC!B69,BRCC!B69,BPCC!B69,RPCC!B69,SLCC!B69,LDCC!B69,NUNEZ!B69,DELGADO!B69,FLETCHER!B69,SOWELA!B69,LCTCSBOS!B69)</f>
        <v>5484577.091000001</v>
      </c>
      <c r="C69" s="78">
        <f>SUM(LTC!C69,BRCC!C69,BPCC!C69,RPCC!C69,SLCC!C69,LDCC!C69,NUNEZ!C69,DELGADO!C69,FLETCHER!C69,SOWELA!C69,LCTCSBOS!C69)</f>
        <v>5513087.89</v>
      </c>
      <c r="D69" s="78">
        <f>SUM(LTC!D69,BRCC!D69,BPCC!D69,RPCC!D69,SLCC!D69,LDCC!D69,NUNEZ!D69,DELGADO!D69,FLETCHER!D69,SOWELA!D69,LCTCSBOS!D69)</f>
        <v>4003701.69</v>
      </c>
      <c r="E69" s="78">
        <f t="shared" si="1"/>
        <v>-1509386.1999999997</v>
      </c>
      <c r="F69" s="90">
        <f t="shared" si="3"/>
        <v>-0.2737823575673124</v>
      </c>
    </row>
    <row r="70" spans="1:6" ht="91.5">
      <c r="A70" s="80" t="s">
        <v>46</v>
      </c>
      <c r="B70" s="78">
        <f>SUM(LTC!B70,BRCC!B70,BPCC!B70,RPCC!B70,SLCC!B70,LDCC!B70,NUNEZ!B70,DELGADO!B70,FLETCHER!B70,SOWELA!B70,LCTCSBOS!B70)</f>
        <v>719403.11</v>
      </c>
      <c r="C70" s="78">
        <f>SUM(LTC!C70,BRCC!C70,BPCC!C70,RPCC!C70,SLCC!C70,LDCC!C70,NUNEZ!C70,DELGADO!C70,FLETCHER!C70,SOWELA!C70,LCTCSBOS!C70)</f>
        <v>750355</v>
      </c>
      <c r="D70" s="78">
        <f>SUM(LTC!D70,BRCC!D70,BPCC!D70,RPCC!D70,SLCC!D70,LDCC!D70,NUNEZ!D70,DELGADO!D70,FLETCHER!D70,SOWELA!D70,LCTCSBOS!D70)</f>
        <v>646823</v>
      </c>
      <c r="E70" s="78">
        <f>D70-C70</f>
        <v>-103532</v>
      </c>
      <c r="F70" s="90">
        <f t="shared" si="3"/>
        <v>-0.1379773573841715</v>
      </c>
    </row>
    <row r="71" spans="1:6" ht="91.5">
      <c r="A71" s="98" t="s">
        <v>47</v>
      </c>
      <c r="B71" s="78">
        <f>SUM(LTC!B71,BRCC!B71,BPCC!B71,RPCC!B71,SLCC!B71,LDCC!B71,NUNEZ!B71,DELGADO!B71,FLETCHER!B71,SOWELA!B71,LCTCSBOS!B71)</f>
        <v>407267</v>
      </c>
      <c r="C71" s="78">
        <f>SUM(LTC!C71,BRCC!C71,BPCC!C71,RPCC!C71,SLCC!C71,LDCC!C71,NUNEZ!C71,DELGADO!C71,FLETCHER!C71,SOWELA!C71,LCTCSBOS!C71)</f>
        <v>511300</v>
      </c>
      <c r="D71" s="78">
        <f>SUM(LTC!D71,BRCC!D71,BPCC!D71,RPCC!D71,SLCC!D71,LDCC!D71,NUNEZ!D71,DELGADO!D71,FLETCHER!D71,SOWELA!D71,LCTCSBOS!D71)</f>
        <v>254944</v>
      </c>
      <c r="E71" s="78">
        <f>D71-C71</f>
        <v>-256356</v>
      </c>
      <c r="F71" s="90">
        <f t="shared" si="3"/>
        <v>-0.5013807940543712</v>
      </c>
    </row>
    <row r="72" spans="1:6" ht="91.5">
      <c r="A72" s="99" t="s">
        <v>48</v>
      </c>
      <c r="B72" s="85">
        <f>SUM(B69:B71)</f>
        <v>6611247.201000001</v>
      </c>
      <c r="C72" s="85">
        <f>SUM(C69:C71)</f>
        <v>6774742.89</v>
      </c>
      <c r="D72" s="85">
        <f>SUM(D69:D71)</f>
        <v>4905468.6899999995</v>
      </c>
      <c r="E72" s="85">
        <f>D72-C72</f>
        <v>-1869274.2000000002</v>
      </c>
      <c r="F72" s="95">
        <f t="shared" si="3"/>
        <v>-0.27591810203737493</v>
      </c>
    </row>
    <row r="73" spans="1:6" ht="91.5">
      <c r="A73" s="94" t="s">
        <v>31</v>
      </c>
      <c r="B73" s="85">
        <f>B72+B68+B63+B59</f>
        <v>298232871.444</v>
      </c>
      <c r="C73" s="85">
        <f>C72+C68+C63+C59</f>
        <v>331401875.78999996</v>
      </c>
      <c r="D73" s="85">
        <f>D72+D68+D63+D59-5</f>
        <v>325043023.9132546</v>
      </c>
      <c r="E73" s="85">
        <f>D73-C73</f>
        <v>-6358851.876745343</v>
      </c>
      <c r="F73" s="95">
        <f t="shared" si="3"/>
        <v>-0.01918773652559157</v>
      </c>
    </row>
    <row r="74" ht="91.5">
      <c r="A74" s="56" t="s">
        <v>186</v>
      </c>
    </row>
    <row r="75" ht="91.5">
      <c r="F75" s="100"/>
    </row>
    <row r="76" spans="1:6" ht="91.5">
      <c r="A76" s="50" t="s">
        <v>0</v>
      </c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B67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71.21484375" style="51" customWidth="1"/>
    <col min="3" max="3" width="64.10546875" style="51" customWidth="1"/>
    <col min="4" max="4" width="68.88671875" style="51" customWidth="1"/>
    <col min="5" max="5" width="70.88671875" style="51" bestFit="1" customWidth="1"/>
    <col min="6" max="6" width="77.44531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89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71236216</v>
      </c>
      <c r="C8" s="74">
        <v>71236216</v>
      </c>
      <c r="D8" s="74">
        <v>76809017</v>
      </c>
      <c r="E8" s="74">
        <f>D8-C8</f>
        <v>5572801</v>
      </c>
      <c r="F8" s="75">
        <f>IF(ISERROR(E8/C8),0,(E8/C8))</f>
        <v>0.07822988520333533</v>
      </c>
    </row>
    <row r="9" spans="1:6" ht="91.5">
      <c r="A9" s="76" t="s">
        <v>60</v>
      </c>
      <c r="B9" s="74">
        <v>3122193</v>
      </c>
      <c r="C9" s="74">
        <v>3122193</v>
      </c>
      <c r="D9" s="74">
        <v>2986152</v>
      </c>
      <c r="E9" s="74">
        <f aca="true" t="shared" si="0" ref="E9:E29">D9-C9</f>
        <v>-136041</v>
      </c>
      <c r="F9" s="75">
        <f aca="true" t="shared" si="1" ref="F9:F29">IF(ISERROR(E9/C9),0,(E9/C9))</f>
        <v>-0.043572258345336116</v>
      </c>
    </row>
    <row r="10" spans="1:6" ht="91.5">
      <c r="A10" s="77" t="s">
        <v>138</v>
      </c>
      <c r="B10" s="78">
        <v>282589</v>
      </c>
      <c r="C10" s="78">
        <v>282589</v>
      </c>
      <c r="D10" s="78">
        <v>0</v>
      </c>
      <c r="E10" s="78">
        <f t="shared" si="0"/>
        <v>-282589</v>
      </c>
      <c r="F10" s="79">
        <f t="shared" si="1"/>
        <v>-1</v>
      </c>
    </row>
    <row r="11" spans="1:6" ht="91.5">
      <c r="A11" s="80" t="s">
        <v>62</v>
      </c>
      <c r="B11" s="78">
        <v>2839604</v>
      </c>
      <c r="C11" s="78">
        <v>2839604</v>
      </c>
      <c r="D11" s="78">
        <v>2986152</v>
      </c>
      <c r="E11" s="78">
        <f t="shared" si="0"/>
        <v>146548</v>
      </c>
      <c r="F11" s="79">
        <f t="shared" si="1"/>
        <v>0.05160860458007525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f t="shared" si="1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79">
        <f t="shared" si="1"/>
        <v>0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f t="shared" si="0"/>
        <v>0</v>
      </c>
      <c r="F24" s="136">
        <f t="shared" si="1"/>
        <v>0</v>
      </c>
    </row>
    <row r="25" spans="1:6" ht="91.5">
      <c r="A25" s="77" t="s">
        <v>142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s="50" customFormat="1" ht="90">
      <c r="A29" s="76" t="s">
        <v>14</v>
      </c>
      <c r="B29" s="74">
        <v>74358409</v>
      </c>
      <c r="C29" s="74">
        <v>74358409</v>
      </c>
      <c r="D29" s="74">
        <v>79795169</v>
      </c>
      <c r="E29" s="74">
        <f t="shared" si="0"/>
        <v>5436760</v>
      </c>
      <c r="F29" s="75">
        <f t="shared" si="1"/>
        <v>0.07311560418136434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143</v>
      </c>
      <c r="B31" s="120">
        <v>-593715</v>
      </c>
      <c r="C31" s="120">
        <v>0</v>
      </c>
      <c r="D31" s="120">
        <v>0</v>
      </c>
      <c r="E31" s="120">
        <f>D31-C31</f>
        <v>0</v>
      </c>
      <c r="F31" s="132">
        <f>IF(ISERROR(E31/C31),0,(E31/C31))</f>
        <v>0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10944884</v>
      </c>
      <c r="D33" s="120">
        <v>10944884</v>
      </c>
      <c r="E33" s="120">
        <f>D33-C33</f>
        <v>0</v>
      </c>
      <c r="F33" s="136">
        <f>IF(ISERROR(E33/C33),0,(E33/C33))</f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v>9178592</v>
      </c>
      <c r="C35" s="120">
        <v>17432932</v>
      </c>
      <c r="D35" s="120">
        <v>15418949</v>
      </c>
      <c r="E35" s="120">
        <f>D35-C35</f>
        <v>-2013983</v>
      </c>
      <c r="F35" s="136">
        <f>IF(ISERROR(E35/C35),0,(E35/C35))</f>
        <v>-0.11552749703836394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v>20399618</v>
      </c>
      <c r="C37" s="120">
        <v>21723693</v>
      </c>
      <c r="D37" s="120">
        <v>21723693</v>
      </c>
      <c r="E37" s="120">
        <f>D37-C37</f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B37+B35+B31+B29</f>
        <v>103342904</v>
      </c>
      <c r="C39" s="120">
        <v>124459918</v>
      </c>
      <c r="D39" s="120">
        <v>127882695</v>
      </c>
      <c r="E39" s="120">
        <f>D39-C39</f>
        <v>3422777</v>
      </c>
      <c r="F39" s="136">
        <f>IF(ISERROR(E39/C39),0,(E39/C39))</f>
        <v>0.027501038527118424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44730855.933000006</v>
      </c>
      <c r="C41" s="138">
        <v>49216022.720000006</v>
      </c>
      <c r="D41" s="138">
        <v>50879223.03541537</v>
      </c>
      <c r="E41" s="138">
        <f>D41-C41</f>
        <v>1663200.31541536</v>
      </c>
      <c r="F41" s="139">
        <f>IF(ISERROR(E41/C41),0,(E41/C41))</f>
        <v>0.03379387897469176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 aca="true" t="shared" si="2" ref="E42:E54">D42-C42</f>
        <v>0</v>
      </c>
      <c r="F42" s="92">
        <f aca="true" t="shared" si="3" ref="F42:F54">IF(ISERROR(E42/C42),0,(E42/C42))</f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3"/>
        <v>0</v>
      </c>
    </row>
    <row r="44" spans="1:6" ht="91.5">
      <c r="A44" s="80" t="s">
        <v>49</v>
      </c>
      <c r="B44" s="78">
        <v>1591665.3</v>
      </c>
      <c r="C44" s="78">
        <v>2072889.37</v>
      </c>
      <c r="D44" s="78">
        <v>1688369.49</v>
      </c>
      <c r="E44" s="78">
        <f t="shared" si="2"/>
        <v>-384519.8800000001</v>
      </c>
      <c r="F44" s="90">
        <f t="shared" si="3"/>
        <v>-0.1854994702394562</v>
      </c>
    </row>
    <row r="45" spans="1:6" ht="91.5">
      <c r="A45" s="80" t="s">
        <v>22</v>
      </c>
      <c r="B45" s="78">
        <v>5473355.240999999</v>
      </c>
      <c r="C45" s="78">
        <v>6207287.699999999</v>
      </c>
      <c r="D45" s="78">
        <v>6474842</v>
      </c>
      <c r="E45" s="78">
        <f t="shared" si="2"/>
        <v>267554.30000000075</v>
      </c>
      <c r="F45" s="90">
        <f t="shared" si="3"/>
        <v>0.043103254260310954</v>
      </c>
    </row>
    <row r="46" spans="1:6" ht="91.5">
      <c r="A46" s="80" t="s">
        <v>23</v>
      </c>
      <c r="B46" s="78">
        <v>20449787.07</v>
      </c>
      <c r="C46" s="78">
        <v>21916142.04</v>
      </c>
      <c r="D46" s="78">
        <v>22563591.322</v>
      </c>
      <c r="E46" s="78">
        <f t="shared" si="2"/>
        <v>647449.2820000015</v>
      </c>
      <c r="F46" s="90">
        <f t="shared" si="3"/>
        <v>0.029542119266169967</v>
      </c>
    </row>
    <row r="47" spans="1:6" ht="91.5">
      <c r="A47" s="80" t="s">
        <v>24</v>
      </c>
      <c r="B47" s="78">
        <v>841634</v>
      </c>
      <c r="C47" s="78">
        <v>835176.89</v>
      </c>
      <c r="D47" s="78">
        <v>0</v>
      </c>
      <c r="E47" s="78">
        <f t="shared" si="2"/>
        <v>-835176.89</v>
      </c>
      <c r="F47" s="90">
        <f t="shared" si="3"/>
        <v>-1</v>
      </c>
    </row>
    <row r="48" spans="1:6" ht="91.5">
      <c r="A48" s="80" t="s">
        <v>25</v>
      </c>
      <c r="B48" s="78">
        <v>9855988.8</v>
      </c>
      <c r="C48" s="78">
        <v>11442754.3</v>
      </c>
      <c r="D48" s="78">
        <v>11147599.486769231</v>
      </c>
      <c r="E48" s="78">
        <f t="shared" si="2"/>
        <v>-295154.8132307697</v>
      </c>
      <c r="F48" s="90">
        <f t="shared" si="3"/>
        <v>-0.025794035727112457</v>
      </c>
    </row>
    <row r="49" spans="1:6" s="50" customFormat="1" ht="90">
      <c r="A49" s="76" t="s">
        <v>26</v>
      </c>
      <c r="B49" s="74">
        <v>82943286.344</v>
      </c>
      <c r="C49" s="74">
        <v>91690273.02000001</v>
      </c>
      <c r="D49" s="74">
        <v>92753625.3341846</v>
      </c>
      <c r="E49" s="74">
        <f t="shared" si="2"/>
        <v>1063352.3141845912</v>
      </c>
      <c r="F49" s="87">
        <f t="shared" si="3"/>
        <v>0.01159722050290598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2"/>
        <v>0</v>
      </c>
      <c r="F50" s="90">
        <f t="shared" si="3"/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f t="shared" si="2"/>
        <v>0</v>
      </c>
      <c r="F51" s="90">
        <f t="shared" si="3"/>
        <v>0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f t="shared" si="2"/>
        <v>0</v>
      </c>
      <c r="F52" s="90">
        <f t="shared" si="3"/>
        <v>0</v>
      </c>
    </row>
    <row r="53" spans="1:6" ht="91.5">
      <c r="A53" s="80" t="s">
        <v>30</v>
      </c>
      <c r="B53" s="78">
        <v>20399618</v>
      </c>
      <c r="C53" s="78">
        <v>32769645</v>
      </c>
      <c r="D53" s="78">
        <v>35129070</v>
      </c>
      <c r="E53" s="78">
        <f t="shared" si="2"/>
        <v>2359425</v>
      </c>
      <c r="F53" s="90">
        <f t="shared" si="3"/>
        <v>0.07200032224944762</v>
      </c>
    </row>
    <row r="54" spans="1:6" s="50" customFormat="1" ht="90">
      <c r="A54" s="148" t="s">
        <v>31</v>
      </c>
      <c r="B54" s="74">
        <v>103342904.344</v>
      </c>
      <c r="C54" s="74">
        <v>124459918.02000001</v>
      </c>
      <c r="D54" s="74">
        <v>127882695.3341846</v>
      </c>
      <c r="E54" s="74">
        <f t="shared" si="2"/>
        <v>3422777.314184591</v>
      </c>
      <c r="F54" s="161">
        <f t="shared" si="3"/>
        <v>0.027501041047082887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v>44673350.690000005</v>
      </c>
      <c r="C56" s="78">
        <v>47463796.970000006</v>
      </c>
      <c r="D56" s="78">
        <v>52584620.62938461</v>
      </c>
      <c r="E56" s="78">
        <f aca="true" t="shared" si="4" ref="E56:E73">D56-C56</f>
        <v>5120823.659384601</v>
      </c>
      <c r="F56" s="92">
        <f aca="true" t="shared" si="5" ref="F56:F73">IF(ISERROR(E56/C56),0,(E56/C56))</f>
        <v>0.10788904357190958</v>
      </c>
    </row>
    <row r="57" spans="1:6" ht="91.5">
      <c r="A57" s="80" t="s">
        <v>34</v>
      </c>
      <c r="B57" s="78">
        <v>2303791.91</v>
      </c>
      <c r="C57" s="78">
        <v>2504910.78</v>
      </c>
      <c r="D57" s="78">
        <v>1852227.51</v>
      </c>
      <c r="E57" s="78">
        <f t="shared" si="4"/>
        <v>-652683.2699999998</v>
      </c>
      <c r="F57" s="90">
        <f t="shared" si="5"/>
        <v>-0.26056148395033846</v>
      </c>
    </row>
    <row r="58" spans="1:6" ht="91.5">
      <c r="A58" s="80" t="s">
        <v>35</v>
      </c>
      <c r="B58" s="78">
        <v>16358633.682999998</v>
      </c>
      <c r="C58" s="78">
        <v>17821300.9</v>
      </c>
      <c r="D58" s="78">
        <v>18834191.204799995</v>
      </c>
      <c r="E58" s="78">
        <f t="shared" si="4"/>
        <v>1012890.3047999963</v>
      </c>
      <c r="F58" s="90">
        <f t="shared" si="5"/>
        <v>0.056835935293589955</v>
      </c>
    </row>
    <row r="59" spans="1:6" ht="91.5">
      <c r="A59" s="93" t="s">
        <v>36</v>
      </c>
      <c r="B59" s="96">
        <v>63335776.283</v>
      </c>
      <c r="C59" s="96">
        <v>67790008.65</v>
      </c>
      <c r="D59" s="96">
        <v>73271039.3441846</v>
      </c>
      <c r="E59" s="96">
        <f t="shared" si="4"/>
        <v>5481030.694184601</v>
      </c>
      <c r="F59" s="97">
        <f t="shared" si="5"/>
        <v>0.0808530755982519</v>
      </c>
    </row>
    <row r="60" spans="1:6" ht="91.5">
      <c r="A60" s="80" t="s">
        <v>37</v>
      </c>
      <c r="B60" s="78">
        <v>337104.57</v>
      </c>
      <c r="C60" s="78">
        <v>493837.02</v>
      </c>
      <c r="D60" s="78">
        <v>515749.3</v>
      </c>
      <c r="E60" s="78">
        <f t="shared" si="4"/>
        <v>21912.27999999997</v>
      </c>
      <c r="F60" s="90">
        <f t="shared" si="5"/>
        <v>0.04437148110119401</v>
      </c>
    </row>
    <row r="61" spans="1:6" ht="91.5">
      <c r="A61" s="80" t="s">
        <v>38</v>
      </c>
      <c r="B61" s="78">
        <v>7806477.109999999</v>
      </c>
      <c r="C61" s="78">
        <v>8961911</v>
      </c>
      <c r="D61" s="78">
        <v>8552344.3</v>
      </c>
      <c r="E61" s="78">
        <f t="shared" si="4"/>
        <v>-409566.69999999925</v>
      </c>
      <c r="F61" s="90">
        <f t="shared" si="5"/>
        <v>-0.045700822067971804</v>
      </c>
    </row>
    <row r="62" spans="1:6" ht="91.5">
      <c r="A62" s="80" t="s">
        <v>39</v>
      </c>
      <c r="B62" s="78">
        <v>3560711.75</v>
      </c>
      <c r="C62" s="78">
        <v>4561458.92</v>
      </c>
      <c r="D62" s="78">
        <v>3997699.06</v>
      </c>
      <c r="E62" s="78">
        <f t="shared" si="4"/>
        <v>-563759.8599999999</v>
      </c>
      <c r="F62" s="90">
        <f t="shared" si="5"/>
        <v>-0.12359200639255125</v>
      </c>
    </row>
    <row r="63" spans="1:6" ht="91.5">
      <c r="A63" s="76" t="s">
        <v>40</v>
      </c>
      <c r="B63" s="83">
        <v>11704293.43</v>
      </c>
      <c r="C63" s="83">
        <v>14017206.94</v>
      </c>
      <c r="D63" s="83">
        <v>13065792.660000002</v>
      </c>
      <c r="E63" s="83">
        <f t="shared" si="4"/>
        <v>-951414.2799999975</v>
      </c>
      <c r="F63" s="87">
        <f t="shared" si="5"/>
        <v>-0.06787474024407872</v>
      </c>
    </row>
    <row r="64" spans="1:6" ht="91.5">
      <c r="A64" s="80" t="s">
        <v>41</v>
      </c>
      <c r="B64" s="78">
        <v>339457.5</v>
      </c>
      <c r="C64" s="78">
        <v>502751.21</v>
      </c>
      <c r="D64" s="78">
        <v>157289</v>
      </c>
      <c r="E64" s="78">
        <f t="shared" si="4"/>
        <v>-345462.21</v>
      </c>
      <c r="F64" s="90">
        <f t="shared" si="5"/>
        <v>-0.687143468038595</v>
      </c>
    </row>
    <row r="65" spans="1:6" ht="91.5">
      <c r="A65" s="80" t="s">
        <v>42</v>
      </c>
      <c r="B65" s="78">
        <v>25596428.33</v>
      </c>
      <c r="C65" s="78">
        <v>38368901.06</v>
      </c>
      <c r="D65" s="78">
        <v>39113533.64</v>
      </c>
      <c r="E65" s="78">
        <f t="shared" si="4"/>
        <v>744632.5799999982</v>
      </c>
      <c r="F65" s="90">
        <f t="shared" si="5"/>
        <v>0.019407190704669043</v>
      </c>
    </row>
    <row r="66" spans="1:6" ht="91.5">
      <c r="A66" s="80" t="s">
        <v>43</v>
      </c>
      <c r="B66" s="78">
        <v>0</v>
      </c>
      <c r="C66" s="78">
        <v>500</v>
      </c>
      <c r="D66" s="78">
        <v>0</v>
      </c>
      <c r="E66" s="78">
        <f t="shared" si="4"/>
        <v>-500</v>
      </c>
      <c r="F66" s="90">
        <f t="shared" si="5"/>
        <v>-1</v>
      </c>
    </row>
    <row r="67" spans="1:6" ht="91.5">
      <c r="A67" s="80" t="s">
        <v>44</v>
      </c>
      <c r="B67" s="78">
        <v>126048.6</v>
      </c>
      <c r="C67" s="78">
        <v>126248.6</v>
      </c>
      <c r="D67" s="78">
        <v>3100</v>
      </c>
      <c r="E67" s="78">
        <f t="shared" si="4"/>
        <v>-123148.6</v>
      </c>
      <c r="F67" s="90">
        <f t="shared" si="5"/>
        <v>-0.9754452722644054</v>
      </c>
    </row>
    <row r="68" spans="1:6" ht="91.5">
      <c r="A68" s="76" t="s">
        <v>45</v>
      </c>
      <c r="B68" s="85">
        <v>26061934.43</v>
      </c>
      <c r="C68" s="85">
        <v>38998400.870000005</v>
      </c>
      <c r="D68" s="85">
        <v>39273922.64</v>
      </c>
      <c r="E68" s="85">
        <f t="shared" si="4"/>
        <v>275521.7699999958</v>
      </c>
      <c r="F68" s="87">
        <f t="shared" si="5"/>
        <v>0.007064950455749182</v>
      </c>
    </row>
    <row r="69" spans="1:6" ht="91.5">
      <c r="A69" s="80" t="s">
        <v>57</v>
      </c>
      <c r="B69" s="78">
        <v>2240900.2010000004</v>
      </c>
      <c r="C69" s="78">
        <v>3654301.56</v>
      </c>
      <c r="D69" s="78">
        <v>2221796.69</v>
      </c>
      <c r="E69" s="78">
        <f t="shared" si="4"/>
        <v>-1432504.87</v>
      </c>
      <c r="F69" s="90">
        <f t="shared" si="5"/>
        <v>-0.3920051058949826</v>
      </c>
    </row>
    <row r="70" spans="1:6" ht="91.5">
      <c r="A70" s="80" t="s">
        <v>46</v>
      </c>
      <c r="B70" s="78">
        <v>0</v>
      </c>
      <c r="C70" s="78">
        <v>0</v>
      </c>
      <c r="D70" s="78">
        <v>0</v>
      </c>
      <c r="E70" s="78">
        <f t="shared" si="4"/>
        <v>0</v>
      </c>
      <c r="F70" s="90">
        <f t="shared" si="5"/>
        <v>0</v>
      </c>
    </row>
    <row r="71" spans="1:6" ht="91.5">
      <c r="A71" s="98" t="s">
        <v>47</v>
      </c>
      <c r="B71" s="78">
        <v>0</v>
      </c>
      <c r="C71" s="78">
        <v>0</v>
      </c>
      <c r="D71" s="78">
        <v>50144</v>
      </c>
      <c r="E71" s="78">
        <f t="shared" si="4"/>
        <v>50144</v>
      </c>
      <c r="F71" s="90">
        <f t="shared" si="5"/>
        <v>0</v>
      </c>
    </row>
    <row r="72" spans="1:6" ht="91.5">
      <c r="A72" s="99" t="s">
        <v>48</v>
      </c>
      <c r="B72" s="85">
        <v>2240900.2010000004</v>
      </c>
      <c r="C72" s="85">
        <v>3654301.56</v>
      </c>
      <c r="D72" s="85">
        <v>2271940.69</v>
      </c>
      <c r="E72" s="85">
        <f t="shared" si="4"/>
        <v>-1382360.87</v>
      </c>
      <c r="F72" s="95">
        <f t="shared" si="5"/>
        <v>-0.3782831951066458</v>
      </c>
    </row>
    <row r="73" spans="1:6" ht="91.5">
      <c r="A73" s="94" t="s">
        <v>31</v>
      </c>
      <c r="B73" s="85">
        <v>103342904.34400001</v>
      </c>
      <c r="C73" s="85">
        <v>124459918.02000001</v>
      </c>
      <c r="D73" s="85">
        <v>127882695.33418462</v>
      </c>
      <c r="E73" s="85">
        <f t="shared" si="4"/>
        <v>3422777.314184606</v>
      </c>
      <c r="F73" s="95">
        <f t="shared" si="5"/>
        <v>0.027501041047083005</v>
      </c>
    </row>
    <row r="74" ht="91.5">
      <c r="A74" s="56" t="s">
        <v>186</v>
      </c>
    </row>
    <row r="75" spans="1:6" ht="91.5">
      <c r="A75" s="56" t="s">
        <v>0</v>
      </c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B67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7.44531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90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14859021</v>
      </c>
      <c r="C8" s="74">
        <v>14859021</v>
      </c>
      <c r="D8" s="74">
        <v>19134793</v>
      </c>
      <c r="E8" s="74">
        <f>D8-C8</f>
        <v>4275772</v>
      </c>
      <c r="F8" s="75">
        <f>E8/C8</f>
        <v>0.2877559699256095</v>
      </c>
    </row>
    <row r="9" spans="1:6" ht="91.5">
      <c r="A9" s="76" t="s">
        <v>60</v>
      </c>
      <c r="B9" s="74">
        <f>SUM(B10:B22)</f>
        <v>645712</v>
      </c>
      <c r="C9" s="74">
        <f>SUM(C10:C22)</f>
        <v>645712</v>
      </c>
      <c r="D9" s="74">
        <f>SUM(D10:D22)</f>
        <v>242704</v>
      </c>
      <c r="E9" s="74">
        <f>SUM(E10:E22)</f>
        <v>-403008</v>
      </c>
      <c r="F9" s="75">
        <f>E9/C9</f>
        <v>-0.6241296429367892</v>
      </c>
    </row>
    <row r="10" spans="1:6" ht="91.5">
      <c r="A10" s="77" t="s">
        <v>138</v>
      </c>
      <c r="B10" s="78">
        <v>417112</v>
      </c>
      <c r="C10" s="78">
        <v>417112</v>
      </c>
      <c r="D10" s="78">
        <v>0</v>
      </c>
      <c r="E10" s="78">
        <f aca="true" t="shared" si="0" ref="E10:E22">D10-C10</f>
        <v>-417112</v>
      </c>
      <c r="F10" s="79">
        <f>E10/C10</f>
        <v>-1</v>
      </c>
    </row>
    <row r="11" spans="1:6" ht="91.5">
      <c r="A11" s="80" t="s">
        <v>62</v>
      </c>
      <c r="B11" s="78">
        <v>228600</v>
      </c>
      <c r="C11" s="78">
        <v>228600</v>
      </c>
      <c r="D11" s="78">
        <v>242704</v>
      </c>
      <c r="E11" s="78">
        <f t="shared" si="0"/>
        <v>14104</v>
      </c>
      <c r="F11" s="79">
        <f>E11/C11</f>
        <v>0.06169728783902012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v>0</v>
      </c>
      <c r="F23" s="79">
        <v>0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v>0</v>
      </c>
      <c r="F24" s="136"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v>0</v>
      </c>
      <c r="F26" s="75"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v>0</v>
      </c>
      <c r="F28" s="79">
        <v>0</v>
      </c>
    </row>
    <row r="29" spans="1:6" s="50" customFormat="1" ht="90">
      <c r="A29" s="76" t="s">
        <v>14</v>
      </c>
      <c r="B29" s="74">
        <f>B8+B9+B25+B27</f>
        <v>15504733</v>
      </c>
      <c r="C29" s="74">
        <f>C8+C9+C25+C27</f>
        <v>15504733</v>
      </c>
      <c r="D29" s="74">
        <f>D8+D9+D25+D27</f>
        <v>19377497</v>
      </c>
      <c r="E29" s="74">
        <f>E8+E9+E25+E27</f>
        <v>3872764</v>
      </c>
      <c r="F29" s="75">
        <f>E29/C29</f>
        <v>0.24977947056553634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78</v>
      </c>
      <c r="B31" s="120">
        <v>0</v>
      </c>
      <c r="C31" s="120">
        <v>0</v>
      </c>
      <c r="D31" s="120">
        <v>0</v>
      </c>
      <c r="E31" s="120">
        <v>0</v>
      </c>
      <c r="F31" s="132">
        <v>0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v>9316068.110000001</v>
      </c>
      <c r="C35" s="120">
        <v>9821503</v>
      </c>
      <c r="D35" s="120">
        <v>9575516</v>
      </c>
      <c r="E35" s="120">
        <f>D35-C35</f>
        <v>-245987</v>
      </c>
      <c r="F35" s="136">
        <f>E35/C35</f>
        <v>-0.02504575928959142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B37+B35+B33+B29-B31</f>
        <v>24820801.11</v>
      </c>
      <c r="C39" s="120">
        <f>C37+C35+C33+C29</f>
        <v>25326236</v>
      </c>
      <c r="D39" s="120">
        <f>D37+D35+D33+D29</f>
        <v>28953013</v>
      </c>
      <c r="E39" s="120">
        <f>E37+E35+E33+E29</f>
        <v>3626777</v>
      </c>
      <c r="F39" s="136">
        <f>E39/C39</f>
        <v>0.14320236927429722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7740374.379999999</v>
      </c>
      <c r="C41" s="138">
        <v>8419605</v>
      </c>
      <c r="D41" s="138">
        <v>11695223.92</v>
      </c>
      <c r="E41" s="138">
        <f aca="true" t="shared" si="1" ref="E41:E48">D41-C41</f>
        <v>3275618.92</v>
      </c>
      <c r="F41" s="139">
        <f>E41/C41</f>
        <v>0.3890466262966018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 t="shared" si="1"/>
        <v>0</v>
      </c>
      <c r="F42" s="92"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t="shared" si="1"/>
        <v>0</v>
      </c>
      <c r="F43" s="90">
        <v>0</v>
      </c>
    </row>
    <row r="44" spans="1:6" ht="91.5">
      <c r="A44" s="80" t="s">
        <v>49</v>
      </c>
      <c r="B44" s="78">
        <f>3057201.48+376150.37</f>
        <v>3433351.85</v>
      </c>
      <c r="C44" s="78">
        <v>3419143</v>
      </c>
      <c r="D44" s="78">
        <v>3921914.98</v>
      </c>
      <c r="E44" s="78">
        <f t="shared" si="1"/>
        <v>502771.98</v>
      </c>
      <c r="F44" s="90">
        <f aca="true" t="shared" si="2" ref="F44:F49">E44/C44</f>
        <v>0.14704619841872657</v>
      </c>
    </row>
    <row r="45" spans="1:6" ht="91.5">
      <c r="A45" s="80" t="s">
        <v>22</v>
      </c>
      <c r="B45" s="78">
        <v>1737469.13</v>
      </c>
      <c r="C45" s="78">
        <v>1863373</v>
      </c>
      <c r="D45" s="78">
        <v>2360388.04</v>
      </c>
      <c r="E45" s="78">
        <f t="shared" si="1"/>
        <v>497015.04000000004</v>
      </c>
      <c r="F45" s="90">
        <f t="shared" si="2"/>
        <v>0.2667286903910275</v>
      </c>
    </row>
    <row r="46" spans="1:6" ht="91.5">
      <c r="A46" s="80" t="s">
        <v>23</v>
      </c>
      <c r="B46" s="78">
        <f>6037000.85+88575.1</f>
        <v>6125575.949999999</v>
      </c>
      <c r="C46" s="78">
        <v>7866919</v>
      </c>
      <c r="D46" s="78">
        <v>7232611.96</v>
      </c>
      <c r="E46" s="78">
        <f t="shared" si="1"/>
        <v>-634307.04</v>
      </c>
      <c r="F46" s="90">
        <f t="shared" si="2"/>
        <v>-0.0806296645484719</v>
      </c>
    </row>
    <row r="47" spans="1:6" ht="91.5">
      <c r="A47" s="80" t="s">
        <v>24</v>
      </c>
      <c r="B47" s="78">
        <v>498309.53</v>
      </c>
      <c r="C47" s="78">
        <v>284163</v>
      </c>
      <c r="D47" s="78">
        <v>205000</v>
      </c>
      <c r="E47" s="78">
        <f t="shared" si="1"/>
        <v>-79163</v>
      </c>
      <c r="F47" s="90">
        <f t="shared" si="2"/>
        <v>-0.2785830667609787</v>
      </c>
    </row>
    <row r="48" spans="1:6" ht="91.5">
      <c r="A48" s="80" t="s">
        <v>25</v>
      </c>
      <c r="B48" s="78">
        <v>5285720.26</v>
      </c>
      <c r="C48" s="78">
        <v>3473033</v>
      </c>
      <c r="D48" s="78">
        <v>3537874.23</v>
      </c>
      <c r="E48" s="78">
        <f t="shared" si="1"/>
        <v>64841.22999999998</v>
      </c>
      <c r="F48" s="90">
        <f t="shared" si="2"/>
        <v>0.018669914740228492</v>
      </c>
    </row>
    <row r="49" spans="1:6" s="50" customFormat="1" ht="90">
      <c r="A49" s="76" t="s">
        <v>26</v>
      </c>
      <c r="B49" s="74">
        <f>SUM(B41:B48)</f>
        <v>24820801.1</v>
      </c>
      <c r="C49" s="74">
        <f>SUM(C41:C48)</f>
        <v>25326236</v>
      </c>
      <c r="D49" s="74">
        <f>SUM(D41:D48)</f>
        <v>28953013.130000003</v>
      </c>
      <c r="E49" s="74">
        <f>SUM(E41:E48)</f>
        <v>3626777.1299999994</v>
      </c>
      <c r="F49" s="87">
        <f t="shared" si="2"/>
        <v>0.1432023744073142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>D50-C50</f>
        <v>0</v>
      </c>
      <c r="F50" s="90"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f>D51-C51</f>
        <v>0</v>
      </c>
      <c r="F51" s="90">
        <v>0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f>D52-C52</f>
        <v>0</v>
      </c>
      <c r="F52" s="90">
        <v>0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v>0</v>
      </c>
    </row>
    <row r="54" spans="1:6" s="50" customFormat="1" ht="90">
      <c r="A54" s="148" t="s">
        <v>31</v>
      </c>
      <c r="B54" s="74">
        <f>SUM(B49:B53)</f>
        <v>24820801.1</v>
      </c>
      <c r="C54" s="74">
        <f>SUM(C49:C53)</f>
        <v>25326236</v>
      </c>
      <c r="D54" s="74">
        <f>SUM(D49:D53)</f>
        <v>28953013.130000003</v>
      </c>
      <c r="E54" s="74">
        <f>SUM(E49:E53)</f>
        <v>3626777.1299999994</v>
      </c>
      <c r="F54" s="161">
        <f>E54/C54</f>
        <v>0.1432023744073142</v>
      </c>
    </row>
    <row r="55" spans="1:6" ht="91.5">
      <c r="A55" s="91" t="s">
        <v>32</v>
      </c>
      <c r="B55" s="70"/>
      <c r="C55" s="70"/>
      <c r="D55" s="70"/>
      <c r="E55" s="70"/>
      <c r="F55" s="71">
        <v>0</v>
      </c>
    </row>
    <row r="56" spans="1:6" ht="91.5">
      <c r="A56" s="77" t="s">
        <v>33</v>
      </c>
      <c r="B56" s="78">
        <v>12460876.009999996</v>
      </c>
      <c r="C56" s="78">
        <v>14090939</v>
      </c>
      <c r="D56" s="78">
        <v>16467687.5</v>
      </c>
      <c r="E56" s="78">
        <f>D56-C56</f>
        <v>2376748.5</v>
      </c>
      <c r="F56" s="92">
        <f>E56/C56</f>
        <v>0.1686721161733792</v>
      </c>
    </row>
    <row r="57" spans="1:6" ht="91.5">
      <c r="A57" s="80" t="s">
        <v>34</v>
      </c>
      <c r="B57" s="78">
        <v>0</v>
      </c>
      <c r="C57" s="78">
        <v>0</v>
      </c>
      <c r="D57" s="78">
        <v>0</v>
      </c>
      <c r="E57" s="78">
        <f>D57-C57</f>
        <v>0</v>
      </c>
      <c r="F57" s="90">
        <v>0</v>
      </c>
    </row>
    <row r="58" spans="1:6" ht="91.5">
      <c r="A58" s="80" t="s">
        <v>35</v>
      </c>
      <c r="B58" s="78">
        <v>3006608.86</v>
      </c>
      <c r="C58" s="78">
        <v>3524554</v>
      </c>
      <c r="D58" s="78">
        <v>3743171.62</v>
      </c>
      <c r="E58" s="78">
        <f>D58-C58</f>
        <v>218617.6200000001</v>
      </c>
      <c r="F58" s="90">
        <f aca="true" t="shared" si="3" ref="F58:F65">E58/C58</f>
        <v>0.06202703093781514</v>
      </c>
    </row>
    <row r="59" spans="1:6" ht="91.5">
      <c r="A59" s="93" t="s">
        <v>36</v>
      </c>
      <c r="B59" s="96">
        <f>SUM(B56:B58)</f>
        <v>15467484.869999995</v>
      </c>
      <c r="C59" s="96">
        <f>SUM(C56:C58)</f>
        <v>17615493</v>
      </c>
      <c r="D59" s="96">
        <f>SUM(D56:D58)</f>
        <v>20210859.12</v>
      </c>
      <c r="E59" s="96">
        <f>SUM(E56:E58)</f>
        <v>2595366.12</v>
      </c>
      <c r="F59" s="97">
        <f t="shared" si="3"/>
        <v>0.1473342880610835</v>
      </c>
    </row>
    <row r="60" spans="1:6" ht="91.5">
      <c r="A60" s="80" t="s">
        <v>37</v>
      </c>
      <c r="B60" s="78">
        <v>198297.44</v>
      </c>
      <c r="C60" s="78">
        <v>247621.79</v>
      </c>
      <c r="D60" s="78">
        <v>283810</v>
      </c>
      <c r="E60" s="78">
        <f>D60-C60</f>
        <v>36188.20999999999</v>
      </c>
      <c r="F60" s="90">
        <f t="shared" si="3"/>
        <v>0.14614307569620585</v>
      </c>
    </row>
    <row r="61" spans="1:6" ht="91.5">
      <c r="A61" s="80" t="s">
        <v>38</v>
      </c>
      <c r="B61" s="78">
        <v>5927018.940000001</v>
      </c>
      <c r="C61" s="78">
        <v>5255512.44</v>
      </c>
      <c r="D61" s="78">
        <v>4548876</v>
      </c>
      <c r="E61" s="78">
        <f>D61-C61</f>
        <v>-706636.4400000004</v>
      </c>
      <c r="F61" s="90">
        <f t="shared" si="3"/>
        <v>-0.13445623962789066</v>
      </c>
    </row>
    <row r="62" spans="1:6" ht="91.5">
      <c r="A62" s="80" t="s">
        <v>39</v>
      </c>
      <c r="B62" s="78">
        <v>681692.71</v>
      </c>
      <c r="C62" s="78">
        <v>415921.99</v>
      </c>
      <c r="D62" s="78">
        <v>417562</v>
      </c>
      <c r="E62" s="78">
        <f>D62-C62</f>
        <v>1640.0100000000093</v>
      </c>
      <c r="F62" s="90">
        <f t="shared" si="3"/>
        <v>0.003943071151395504</v>
      </c>
    </row>
    <row r="63" spans="1:6" ht="91.5">
      <c r="A63" s="76" t="s">
        <v>40</v>
      </c>
      <c r="B63" s="83">
        <f>SUM(B60:B62)</f>
        <v>6807009.090000002</v>
      </c>
      <c r="C63" s="83">
        <f>SUM(C60:C62)</f>
        <v>5919056.220000001</v>
      </c>
      <c r="D63" s="83">
        <f>SUM(D60:D62)</f>
        <v>5250248</v>
      </c>
      <c r="E63" s="83">
        <f>SUM(E60:E62)</f>
        <v>-668808.2200000004</v>
      </c>
      <c r="F63" s="87">
        <f t="shared" si="3"/>
        <v>-0.1129923749904846</v>
      </c>
    </row>
    <row r="64" spans="1:6" ht="91.5">
      <c r="A64" s="80" t="s">
        <v>41</v>
      </c>
      <c r="B64" s="78">
        <v>567811.43</v>
      </c>
      <c r="C64" s="78">
        <v>519931.66</v>
      </c>
      <c r="D64" s="78">
        <v>311976</v>
      </c>
      <c r="E64" s="78">
        <f>D64-C64</f>
        <v>-207955.65999999997</v>
      </c>
      <c r="F64" s="90">
        <f t="shared" si="3"/>
        <v>-0.3999672957019005</v>
      </c>
    </row>
    <row r="65" spans="1:6" ht="91.5">
      <c r="A65" s="80" t="s">
        <v>42</v>
      </c>
      <c r="B65" s="78">
        <v>927565.32</v>
      </c>
      <c r="C65" s="78">
        <v>1079301</v>
      </c>
      <c r="D65" s="78">
        <v>3169930</v>
      </c>
      <c r="E65" s="78">
        <f>D65-C65</f>
        <v>2090629</v>
      </c>
      <c r="F65" s="90">
        <f t="shared" si="3"/>
        <v>1.9370212758072123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>D66-C66</f>
        <v>0</v>
      </c>
      <c r="F66" s="90">
        <v>0</v>
      </c>
    </row>
    <row r="67" spans="1:6" ht="91.5">
      <c r="A67" s="80" t="s">
        <v>44</v>
      </c>
      <c r="B67" s="78">
        <v>0</v>
      </c>
      <c r="C67" s="78">
        <v>0</v>
      </c>
      <c r="D67" s="78">
        <v>0</v>
      </c>
      <c r="E67" s="78">
        <f>D67-C67</f>
        <v>0</v>
      </c>
      <c r="F67" s="90">
        <v>0</v>
      </c>
    </row>
    <row r="68" spans="1:6" ht="91.5">
      <c r="A68" s="76" t="s">
        <v>45</v>
      </c>
      <c r="B68" s="85">
        <f>SUM(B64:B67)</f>
        <v>1495376.75</v>
      </c>
      <c r="C68" s="85">
        <f>SUM(C64:C67)</f>
        <v>1599232.66</v>
      </c>
      <c r="D68" s="85">
        <f>SUM(D64:D67)</f>
        <v>3481906</v>
      </c>
      <c r="E68" s="85">
        <f>SUM(E64:E67)</f>
        <v>1882673.34</v>
      </c>
      <c r="F68" s="87">
        <f aca="true" t="shared" si="4" ref="F68:F73">E68/C68</f>
        <v>1.1772354248943366</v>
      </c>
    </row>
    <row r="69" spans="1:6" ht="91.5">
      <c r="A69" s="80" t="s">
        <v>57</v>
      </c>
      <c r="B69" s="78">
        <v>939341</v>
      </c>
      <c r="C69" s="78">
        <v>76133.12</v>
      </c>
      <c r="D69" s="78">
        <v>10000</v>
      </c>
      <c r="E69" s="78">
        <f>D69-C69</f>
        <v>-66133.12</v>
      </c>
      <c r="F69" s="90">
        <f t="shared" si="4"/>
        <v>-0.8686511205635602</v>
      </c>
    </row>
    <row r="70" spans="1:6" ht="91.5">
      <c r="A70" s="80" t="s">
        <v>46</v>
      </c>
      <c r="B70" s="78">
        <v>111589.29</v>
      </c>
      <c r="C70" s="78">
        <v>116321</v>
      </c>
      <c r="D70" s="78">
        <v>0</v>
      </c>
      <c r="E70" s="78">
        <f>D70-C70</f>
        <v>-116321</v>
      </c>
      <c r="F70" s="90">
        <f t="shared" si="4"/>
        <v>-1</v>
      </c>
    </row>
    <row r="71" spans="1:6" ht="91.5">
      <c r="A71" s="98" t="s">
        <v>47</v>
      </c>
      <c r="B71" s="78">
        <v>0</v>
      </c>
      <c r="C71" s="78">
        <v>0</v>
      </c>
      <c r="D71" s="78">
        <v>0</v>
      </c>
      <c r="E71" s="78">
        <f>D71-C71</f>
        <v>0</v>
      </c>
      <c r="F71" s="90">
        <v>0</v>
      </c>
    </row>
    <row r="72" spans="1:6" ht="91.5">
      <c r="A72" s="99" t="s">
        <v>48</v>
      </c>
      <c r="B72" s="85">
        <f>SUM(B69:B71)</f>
        <v>1050930.29</v>
      </c>
      <c r="C72" s="85">
        <f>SUM(C69:C71)</f>
        <v>192454.12</v>
      </c>
      <c r="D72" s="85">
        <f>SUM(D69:D71)</f>
        <v>10000</v>
      </c>
      <c r="E72" s="85">
        <f>SUM(E69:E71)</f>
        <v>-182454.12</v>
      </c>
      <c r="F72" s="95">
        <f t="shared" si="4"/>
        <v>-0.9480395639230794</v>
      </c>
    </row>
    <row r="73" spans="1:6" ht="91.5">
      <c r="A73" s="94" t="s">
        <v>31</v>
      </c>
      <c r="B73" s="85">
        <f>B72+B68+B63+B59</f>
        <v>24820801</v>
      </c>
      <c r="C73" s="85">
        <f>C72+C68+C63+C59</f>
        <v>25326236</v>
      </c>
      <c r="D73" s="85">
        <f>D72+D68+D63+D59</f>
        <v>28953013.12</v>
      </c>
      <c r="E73" s="85">
        <f>E72+E68+E63+E59</f>
        <v>3626777.12</v>
      </c>
      <c r="F73" s="95">
        <f t="shared" si="4"/>
        <v>0.14320237401246677</v>
      </c>
    </row>
    <row r="74" ht="91.5">
      <c r="A74" s="56" t="s">
        <v>186</v>
      </c>
    </row>
    <row r="75" ht="91.5"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C1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7.4453125" style="57" customWidth="1"/>
    <col min="7" max="16384" width="50.3359375" style="56" customWidth="1"/>
  </cols>
  <sheetData>
    <row r="1" spans="1:6" ht="93">
      <c r="A1" s="50" t="s">
        <v>3</v>
      </c>
      <c r="C1" s="52"/>
      <c r="D1" s="53"/>
      <c r="E1" s="54" t="s">
        <v>6</v>
      </c>
      <c r="F1" s="123" t="s">
        <v>91</v>
      </c>
    </row>
    <row r="2" ht="93">
      <c r="A2" s="50" t="s">
        <v>4</v>
      </c>
    </row>
    <row r="3" spans="1:6" ht="93.75" thickBot="1">
      <c r="A3" s="58" t="s">
        <v>5</v>
      </c>
      <c r="B3" s="59"/>
      <c r="C3" s="59"/>
      <c r="D3" s="59"/>
      <c r="E3" s="59"/>
      <c r="F3" s="60"/>
    </row>
    <row r="4" spans="1:6" ht="93.7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3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3">
      <c r="A6" s="69" t="s">
        <v>11</v>
      </c>
      <c r="B6" s="70"/>
      <c r="C6" s="70"/>
      <c r="D6" s="70"/>
      <c r="E6" s="70"/>
      <c r="F6" s="71"/>
    </row>
    <row r="7" spans="1:6" ht="93">
      <c r="A7" s="69" t="s">
        <v>12</v>
      </c>
      <c r="B7" s="70"/>
      <c r="C7" s="70"/>
      <c r="D7" s="70"/>
      <c r="E7" s="72"/>
      <c r="F7" s="71"/>
    </row>
    <row r="8" spans="1:6" ht="93">
      <c r="A8" s="73" t="s">
        <v>144</v>
      </c>
      <c r="B8" s="74">
        <v>12266414.99</v>
      </c>
      <c r="C8" s="74">
        <v>12266415</v>
      </c>
      <c r="D8" s="74">
        <v>13676735</v>
      </c>
      <c r="E8" s="74">
        <f>D8-C8</f>
        <v>1410320</v>
      </c>
      <c r="F8" s="75">
        <f>IF(ISERROR(E8/C8),0,(E8/C8))</f>
        <v>0.11497409797402093</v>
      </c>
    </row>
    <row r="9" spans="1:6" ht="93">
      <c r="A9" s="76" t="s">
        <v>145</v>
      </c>
      <c r="B9" s="86"/>
      <c r="C9" s="86"/>
      <c r="D9" s="86"/>
      <c r="E9" s="86"/>
      <c r="F9" s="87"/>
    </row>
    <row r="10" spans="1:6" ht="93">
      <c r="A10" s="77" t="s">
        <v>138</v>
      </c>
      <c r="B10" s="78">
        <v>85331.76</v>
      </c>
      <c r="C10" s="78">
        <v>85331</v>
      </c>
      <c r="D10" s="78">
        <v>0</v>
      </c>
      <c r="E10" s="78">
        <f aca="true" t="shared" si="0" ref="E10:E29">D10-C10</f>
        <v>-85331</v>
      </c>
      <c r="F10" s="79">
        <f aca="true" t="shared" si="1" ref="F10:F29">IF(ISERROR(E10/C10),0,(E10/C10))</f>
        <v>-1</v>
      </c>
    </row>
    <row r="11" spans="1:6" ht="93">
      <c r="A11" s="80" t="s">
        <v>62</v>
      </c>
      <c r="B11" s="78">
        <v>357195.24</v>
      </c>
      <c r="C11" s="78">
        <v>357196</v>
      </c>
      <c r="D11" s="78">
        <v>377231</v>
      </c>
      <c r="E11" s="78">
        <f t="shared" si="0"/>
        <v>20035</v>
      </c>
      <c r="F11" s="79">
        <f t="shared" si="1"/>
        <v>0.056089653859505706</v>
      </c>
    </row>
    <row r="12" spans="1:6" ht="93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3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3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f t="shared" si="1"/>
        <v>0</v>
      </c>
    </row>
    <row r="15" spans="1:6" ht="93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3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3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3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3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3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3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3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3">
      <c r="A23" s="130" t="s">
        <v>156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79">
        <f t="shared" si="1"/>
        <v>0</v>
      </c>
    </row>
    <row r="24" spans="1:6" ht="93">
      <c r="A24" s="82" t="s">
        <v>146</v>
      </c>
      <c r="B24" s="120">
        <v>0</v>
      </c>
      <c r="C24" s="120">
        <v>0</v>
      </c>
      <c r="D24" s="120">
        <v>0</v>
      </c>
      <c r="E24" s="120">
        <f t="shared" si="0"/>
        <v>0</v>
      </c>
      <c r="F24" s="136">
        <f t="shared" si="1"/>
        <v>0</v>
      </c>
    </row>
    <row r="25" spans="1:6" ht="93">
      <c r="A25" s="77" t="s">
        <v>147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3">
      <c r="A26" s="76" t="s">
        <v>148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f t="shared" si="1"/>
        <v>0</v>
      </c>
    </row>
    <row r="27" spans="1:6" ht="93">
      <c r="A27" s="77" t="s">
        <v>147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149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s="50" customFormat="1" ht="90">
      <c r="A29" s="76" t="s">
        <v>14</v>
      </c>
      <c r="B29" s="74">
        <v>12708941.99</v>
      </c>
      <c r="C29" s="74">
        <v>12708942</v>
      </c>
      <c r="D29" s="74">
        <v>14053966</v>
      </c>
      <c r="E29" s="74">
        <f t="shared" si="0"/>
        <v>1345024</v>
      </c>
      <c r="F29" s="75">
        <f t="shared" si="1"/>
        <v>0.10583288522364805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78</v>
      </c>
      <c r="B31" s="120">
        <v>0</v>
      </c>
      <c r="C31" s="120">
        <v>0</v>
      </c>
      <c r="D31" s="120">
        <v>0</v>
      </c>
      <c r="E31" s="120">
        <f>D31-C31</f>
        <v>0</v>
      </c>
      <c r="F31" s="132">
        <f>IF(ISERROR(E31/C31),0,(E31/C31))</f>
        <v>0</v>
      </c>
    </row>
    <row r="32" spans="1:6" ht="91.5">
      <c r="A32" s="82"/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f>IF(ISERROR(E33/C33),0,(E33/C33))</f>
        <v>0</v>
      </c>
    </row>
    <row r="34" spans="1:6" s="50" customFormat="1" ht="90">
      <c r="A34" s="133"/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v>7138426.51</v>
      </c>
      <c r="C35" s="120">
        <v>7702894</v>
      </c>
      <c r="D35" s="120">
        <v>7784435</v>
      </c>
      <c r="E35" s="120">
        <f>D35-C35</f>
        <v>81541</v>
      </c>
      <c r="F35" s="136">
        <f>IF(ISERROR(E35/C35),0,(E35/C35))</f>
        <v>0.010585761663084031</v>
      </c>
    </row>
    <row r="36" spans="1:6" s="50" customFormat="1" ht="90">
      <c r="A36" s="133"/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v>19847368.5</v>
      </c>
      <c r="C39" s="120">
        <v>20411836</v>
      </c>
      <c r="D39" s="120">
        <v>21838401</v>
      </c>
      <c r="E39" s="120">
        <f>D39-C39</f>
        <v>1426565</v>
      </c>
      <c r="F39" s="136">
        <f>IF(ISERROR(E39/C39),0,(E39/C39))</f>
        <v>0.06988910747666208</v>
      </c>
    </row>
    <row r="40" spans="1:6" ht="91.5">
      <c r="A40" s="146" t="s">
        <v>18</v>
      </c>
      <c r="B40" s="134"/>
      <c r="C40" s="134"/>
      <c r="D40" s="134"/>
      <c r="E40" s="134" t="s">
        <v>0</v>
      </c>
      <c r="F40" s="147"/>
    </row>
    <row r="41" spans="1:6" ht="91.5">
      <c r="A41" s="137" t="s">
        <v>19</v>
      </c>
      <c r="B41" s="138">
        <v>9321768.79</v>
      </c>
      <c r="C41" s="138">
        <v>9398780</v>
      </c>
      <c r="D41" s="138">
        <v>9924542</v>
      </c>
      <c r="E41" s="138">
        <f aca="true" t="shared" si="2" ref="E41:E54">D41-C41</f>
        <v>525762</v>
      </c>
      <c r="F41" s="139">
        <f aca="true" t="shared" si="3" ref="F41:F54">IF(ISERROR(E41/C41),0,(E41/C41))</f>
        <v>0.055939387878001186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 t="shared" si="2"/>
        <v>0</v>
      </c>
      <c r="F42" s="92">
        <f t="shared" si="3"/>
        <v>0</v>
      </c>
    </row>
    <row r="43" spans="1:6" ht="91.5">
      <c r="A43" s="80" t="s">
        <v>21</v>
      </c>
      <c r="B43" s="78">
        <v>319687.19</v>
      </c>
      <c r="C43" s="78">
        <v>506006</v>
      </c>
      <c r="D43" s="78">
        <v>587369</v>
      </c>
      <c r="E43" s="78">
        <f t="shared" si="2"/>
        <v>81363</v>
      </c>
      <c r="F43" s="90">
        <f t="shared" si="3"/>
        <v>0.16079453603316957</v>
      </c>
    </row>
    <row r="44" spans="1:6" ht="91.5">
      <c r="A44" s="80" t="s">
        <v>49</v>
      </c>
      <c r="B44" s="78">
        <v>2129067.09</v>
      </c>
      <c r="C44" s="78">
        <v>2129421</v>
      </c>
      <c r="D44" s="78">
        <v>2102145</v>
      </c>
      <c r="E44" s="78">
        <f t="shared" si="2"/>
        <v>-27276</v>
      </c>
      <c r="F44" s="90">
        <f t="shared" si="3"/>
        <v>-0.01280911571737106</v>
      </c>
    </row>
    <row r="45" spans="1:6" ht="91.5">
      <c r="A45" s="80" t="s">
        <v>22</v>
      </c>
      <c r="B45" s="78">
        <v>1675747.91</v>
      </c>
      <c r="C45" s="78">
        <v>1654268</v>
      </c>
      <c r="D45" s="78">
        <v>1868918</v>
      </c>
      <c r="E45" s="78">
        <f t="shared" si="2"/>
        <v>214650</v>
      </c>
      <c r="F45" s="90">
        <f t="shared" si="3"/>
        <v>0.12975527544509113</v>
      </c>
    </row>
    <row r="46" spans="1:6" ht="91.5">
      <c r="A46" s="80" t="s">
        <v>23</v>
      </c>
      <c r="B46" s="78">
        <v>3158950.29</v>
      </c>
      <c r="C46" s="78">
        <v>3061012</v>
      </c>
      <c r="D46" s="78">
        <v>3478025</v>
      </c>
      <c r="E46" s="78">
        <f t="shared" si="2"/>
        <v>417013</v>
      </c>
      <c r="F46" s="90">
        <f t="shared" si="3"/>
        <v>0.13623370310211133</v>
      </c>
    </row>
    <row r="47" spans="1:6" ht="91.5">
      <c r="A47" s="80" t="s">
        <v>24</v>
      </c>
      <c r="B47" s="78">
        <v>460619.02</v>
      </c>
      <c r="C47" s="78">
        <v>400000</v>
      </c>
      <c r="D47" s="78">
        <v>400000</v>
      </c>
      <c r="E47" s="78">
        <f t="shared" si="2"/>
        <v>0</v>
      </c>
      <c r="F47" s="90">
        <f t="shared" si="3"/>
        <v>0</v>
      </c>
    </row>
    <row r="48" spans="1:6" ht="91.5">
      <c r="A48" s="80" t="s">
        <v>25</v>
      </c>
      <c r="B48" s="78">
        <v>2017386.27</v>
      </c>
      <c r="C48" s="78">
        <v>2779010</v>
      </c>
      <c r="D48" s="78">
        <v>2717261</v>
      </c>
      <c r="E48" s="78">
        <f t="shared" si="2"/>
        <v>-61749</v>
      </c>
      <c r="F48" s="90">
        <f t="shared" si="3"/>
        <v>-0.02221978330412629</v>
      </c>
    </row>
    <row r="49" spans="1:6" s="50" customFormat="1" ht="90">
      <c r="A49" s="76" t="s">
        <v>130</v>
      </c>
      <c r="B49" s="74">
        <v>19083226.56</v>
      </c>
      <c r="C49" s="74">
        <v>19928497</v>
      </c>
      <c r="D49" s="74">
        <v>21078260</v>
      </c>
      <c r="E49" s="74">
        <f t="shared" si="2"/>
        <v>1149763</v>
      </c>
      <c r="F49" s="87">
        <f t="shared" si="3"/>
        <v>0.05769441619204901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2"/>
        <v>0</v>
      </c>
      <c r="F50" s="90">
        <f t="shared" si="3"/>
        <v>0</v>
      </c>
    </row>
    <row r="51" spans="1:6" ht="91.5">
      <c r="A51" s="80" t="s">
        <v>28</v>
      </c>
      <c r="B51" s="78">
        <v>645098</v>
      </c>
      <c r="C51" s="78">
        <v>247313</v>
      </c>
      <c r="D51" s="78">
        <v>492358</v>
      </c>
      <c r="E51" s="78">
        <f t="shared" si="2"/>
        <v>245045</v>
      </c>
      <c r="F51" s="90">
        <f t="shared" si="3"/>
        <v>0.9908294347648526</v>
      </c>
    </row>
    <row r="52" spans="1:6" ht="91.5">
      <c r="A52" s="80" t="s">
        <v>29</v>
      </c>
      <c r="B52" s="78">
        <v>119044</v>
      </c>
      <c r="C52" s="78">
        <v>236026</v>
      </c>
      <c r="D52" s="78">
        <v>267783</v>
      </c>
      <c r="E52" s="78">
        <f t="shared" si="2"/>
        <v>31757</v>
      </c>
      <c r="F52" s="90">
        <f t="shared" si="3"/>
        <v>0.13454873615618618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f t="shared" si="2"/>
        <v>0</v>
      </c>
      <c r="F53" s="90">
        <f t="shared" si="3"/>
        <v>0</v>
      </c>
    </row>
    <row r="54" spans="1:6" s="50" customFormat="1" ht="90">
      <c r="A54" s="148" t="s">
        <v>31</v>
      </c>
      <c r="B54" s="74">
        <v>19847368.56</v>
      </c>
      <c r="C54" s="74">
        <v>20411836</v>
      </c>
      <c r="D54" s="74">
        <v>21838401</v>
      </c>
      <c r="E54" s="74">
        <f t="shared" si="2"/>
        <v>1426565</v>
      </c>
      <c r="F54" s="161">
        <f t="shared" si="3"/>
        <v>0.06988910747666208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v>11900616.459999999</v>
      </c>
      <c r="C56" s="78">
        <v>12055748</v>
      </c>
      <c r="D56" s="78">
        <v>13374443</v>
      </c>
      <c r="E56" s="78">
        <f aca="true" t="shared" si="4" ref="E56:E73">D56-C56</f>
        <v>1318695</v>
      </c>
      <c r="F56" s="92">
        <f aca="true" t="shared" si="5" ref="F56:F73">IF(ISERROR(E56/C56),0,(E56/C56))</f>
        <v>0.10938309261275203</v>
      </c>
    </row>
    <row r="57" spans="1:6" ht="91.5">
      <c r="A57" s="80" t="s">
        <v>34</v>
      </c>
      <c r="B57" s="78">
        <v>981313.76</v>
      </c>
      <c r="C57" s="78">
        <v>923253</v>
      </c>
      <c r="D57" s="78">
        <v>981315</v>
      </c>
      <c r="E57" s="78">
        <f t="shared" si="4"/>
        <v>58062</v>
      </c>
      <c r="F57" s="90">
        <f t="shared" si="5"/>
        <v>0.06288850401785859</v>
      </c>
    </row>
    <row r="58" spans="1:6" ht="91.5">
      <c r="A58" s="80" t="s">
        <v>35</v>
      </c>
      <c r="B58" s="78">
        <v>3165911.15</v>
      </c>
      <c r="C58" s="78">
        <v>3173729</v>
      </c>
      <c r="D58" s="78">
        <v>3582694</v>
      </c>
      <c r="E58" s="78">
        <f t="shared" si="4"/>
        <v>408965</v>
      </c>
      <c r="F58" s="90">
        <f t="shared" si="5"/>
        <v>0.12885945838475812</v>
      </c>
    </row>
    <row r="59" spans="1:6" ht="91.5">
      <c r="A59" s="93" t="s">
        <v>36</v>
      </c>
      <c r="B59" s="96">
        <v>16047841.37</v>
      </c>
      <c r="C59" s="96">
        <v>16152730</v>
      </c>
      <c r="D59" s="96">
        <v>17938452</v>
      </c>
      <c r="E59" s="96">
        <f t="shared" si="4"/>
        <v>1785722</v>
      </c>
      <c r="F59" s="97">
        <f t="shared" si="5"/>
        <v>0.11055233387792651</v>
      </c>
    </row>
    <row r="60" spans="1:6" ht="91.5">
      <c r="A60" s="80" t="s">
        <v>37</v>
      </c>
      <c r="B60" s="78">
        <v>146467.11</v>
      </c>
      <c r="C60" s="78">
        <v>112073</v>
      </c>
      <c r="D60" s="78">
        <v>73122</v>
      </c>
      <c r="E60" s="78">
        <f t="shared" si="4"/>
        <v>-38951</v>
      </c>
      <c r="F60" s="90">
        <f t="shared" si="5"/>
        <v>-0.34755025742150203</v>
      </c>
    </row>
    <row r="61" spans="1:6" ht="91.5">
      <c r="A61" s="80" t="s">
        <v>38</v>
      </c>
      <c r="B61" s="78">
        <v>1448371.91</v>
      </c>
      <c r="C61" s="78">
        <v>2315024</v>
      </c>
      <c r="D61" s="78">
        <v>1797056</v>
      </c>
      <c r="E61" s="78">
        <f t="shared" si="4"/>
        <v>-517968</v>
      </c>
      <c r="F61" s="90">
        <f t="shared" si="5"/>
        <v>-0.22374195688684004</v>
      </c>
    </row>
    <row r="62" spans="1:6" ht="91.5">
      <c r="A62" s="80" t="s">
        <v>39</v>
      </c>
      <c r="B62" s="78">
        <v>337598.06</v>
      </c>
      <c r="C62" s="78">
        <v>572009</v>
      </c>
      <c r="D62" s="78">
        <v>595095</v>
      </c>
      <c r="E62" s="78">
        <f t="shared" si="4"/>
        <v>23086</v>
      </c>
      <c r="F62" s="90">
        <f t="shared" si="5"/>
        <v>0.040359504832965916</v>
      </c>
    </row>
    <row r="63" spans="1:6" ht="91.5">
      <c r="A63" s="76" t="s">
        <v>40</v>
      </c>
      <c r="B63" s="83">
        <v>1932437.08</v>
      </c>
      <c r="C63" s="83">
        <v>2999106</v>
      </c>
      <c r="D63" s="83">
        <v>2465273</v>
      </c>
      <c r="E63" s="83">
        <f t="shared" si="4"/>
        <v>-533833</v>
      </c>
      <c r="F63" s="87">
        <f t="shared" si="5"/>
        <v>-0.17799737655154568</v>
      </c>
    </row>
    <row r="64" spans="1:6" ht="91.5">
      <c r="A64" s="80" t="s">
        <v>41</v>
      </c>
      <c r="B64" s="78">
        <v>271082.43</v>
      </c>
      <c r="C64" s="78">
        <v>238747</v>
      </c>
      <c r="D64" s="78">
        <v>207543</v>
      </c>
      <c r="E64" s="78">
        <f t="shared" si="4"/>
        <v>-31204</v>
      </c>
      <c r="F64" s="90">
        <f t="shared" si="5"/>
        <v>-0.13069902449036008</v>
      </c>
    </row>
    <row r="65" spans="1:6" ht="91.5">
      <c r="A65" s="80" t="s">
        <v>42</v>
      </c>
      <c r="B65" s="78">
        <v>762958.16</v>
      </c>
      <c r="C65" s="78">
        <v>455384</v>
      </c>
      <c r="D65" s="78">
        <v>426675</v>
      </c>
      <c r="E65" s="78">
        <f t="shared" si="4"/>
        <v>-28709</v>
      </c>
      <c r="F65" s="90">
        <f t="shared" si="5"/>
        <v>-0.0630434973560775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4"/>
        <v>0</v>
      </c>
      <c r="F66" s="90">
        <f t="shared" si="5"/>
        <v>0</v>
      </c>
    </row>
    <row r="67" spans="1:6" ht="91.5">
      <c r="A67" s="80" t="s">
        <v>44</v>
      </c>
      <c r="B67" s="78">
        <v>764142</v>
      </c>
      <c r="C67" s="78">
        <v>483339</v>
      </c>
      <c r="D67" s="78">
        <v>760141</v>
      </c>
      <c r="E67" s="78">
        <f t="shared" si="4"/>
        <v>276802</v>
      </c>
      <c r="F67" s="90">
        <f t="shared" si="5"/>
        <v>0.5726870788411447</v>
      </c>
    </row>
    <row r="68" spans="1:6" ht="91.5">
      <c r="A68" s="76" t="s">
        <v>45</v>
      </c>
      <c r="B68" s="85">
        <v>1798182.59</v>
      </c>
      <c r="C68" s="85">
        <v>1177470</v>
      </c>
      <c r="D68" s="85">
        <v>1394359</v>
      </c>
      <c r="E68" s="85">
        <f t="shared" si="4"/>
        <v>216889</v>
      </c>
      <c r="F68" s="87">
        <f t="shared" si="5"/>
        <v>0.1841991728027041</v>
      </c>
    </row>
    <row r="69" spans="1:6" ht="91.5">
      <c r="A69" s="80" t="s">
        <v>57</v>
      </c>
      <c r="B69" s="78">
        <v>8336.7</v>
      </c>
      <c r="C69" s="78">
        <v>17746</v>
      </c>
      <c r="D69" s="78">
        <v>9203</v>
      </c>
      <c r="E69" s="78">
        <f t="shared" si="4"/>
        <v>-8543</v>
      </c>
      <c r="F69" s="90">
        <f t="shared" si="5"/>
        <v>-0.48140426011495546</v>
      </c>
    </row>
    <row r="70" spans="1:6" ht="91.5">
      <c r="A70" s="80" t="s">
        <v>46</v>
      </c>
      <c r="B70" s="78">
        <v>60570.82</v>
      </c>
      <c r="C70" s="78">
        <v>64784</v>
      </c>
      <c r="D70" s="78">
        <v>31114</v>
      </c>
      <c r="E70" s="78">
        <f t="shared" si="4"/>
        <v>-33670</v>
      </c>
      <c r="F70" s="90">
        <f t="shared" si="5"/>
        <v>-0.5197270931094097</v>
      </c>
    </row>
    <row r="71" spans="1:6" ht="91.5">
      <c r="A71" s="98" t="s">
        <v>47</v>
      </c>
      <c r="B71" s="78">
        <v>0</v>
      </c>
      <c r="C71" s="78">
        <v>0</v>
      </c>
      <c r="D71" s="78">
        <v>0</v>
      </c>
      <c r="E71" s="78">
        <f t="shared" si="4"/>
        <v>0</v>
      </c>
      <c r="F71" s="90">
        <f t="shared" si="5"/>
        <v>0</v>
      </c>
    </row>
    <row r="72" spans="1:6" ht="91.5">
      <c r="A72" s="99" t="s">
        <v>48</v>
      </c>
      <c r="B72" s="85">
        <v>68907.52</v>
      </c>
      <c r="C72" s="85">
        <v>82530</v>
      </c>
      <c r="D72" s="85">
        <v>40317</v>
      </c>
      <c r="E72" s="85">
        <f t="shared" si="4"/>
        <v>-42213</v>
      </c>
      <c r="F72" s="95">
        <f t="shared" si="5"/>
        <v>-0.5114867320974191</v>
      </c>
    </row>
    <row r="73" spans="1:6" ht="91.5">
      <c r="A73" s="94" t="s">
        <v>31</v>
      </c>
      <c r="B73" s="85">
        <v>19847368.56</v>
      </c>
      <c r="C73" s="85">
        <v>20411836</v>
      </c>
      <c r="D73" s="85">
        <v>21838401</v>
      </c>
      <c r="E73" s="85">
        <f t="shared" si="4"/>
        <v>1426565</v>
      </c>
      <c r="F73" s="95">
        <f t="shared" si="5"/>
        <v>0.06988910747666208</v>
      </c>
    </row>
    <row r="74" ht="91.5">
      <c r="A74" s="56" t="s">
        <v>186</v>
      </c>
    </row>
    <row r="75" spans="1:6" ht="91.5">
      <c r="A75" s="56" t="s">
        <v>0</v>
      </c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30" zoomScaleNormal="30" zoomScalePageLayoutView="0" workbookViewId="0" topLeftCell="B31">
      <selection activeCell="A10" sqref="A10"/>
    </sheetView>
  </sheetViews>
  <sheetFormatPr defaultColWidth="9.6640625" defaultRowHeight="15"/>
  <cols>
    <col min="1" max="1" width="255.77734375" style="56" bestFit="1" customWidth="1"/>
    <col min="2" max="4" width="56.77734375" style="51" bestFit="1" customWidth="1"/>
    <col min="5" max="5" width="70.4453125" style="51" bestFit="1" customWidth="1"/>
    <col min="6" max="6" width="56.4453125" style="57" bestFit="1" customWidth="1"/>
    <col min="7" max="16384" width="9.6640625" style="56" customWidth="1"/>
  </cols>
  <sheetData>
    <row r="1" spans="1:6" ht="91.5">
      <c r="A1" s="50" t="s">
        <v>3</v>
      </c>
      <c r="C1" s="52"/>
      <c r="D1" s="53"/>
      <c r="E1" s="54" t="s">
        <v>6</v>
      </c>
      <c r="F1" s="55" t="s">
        <v>168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3037933</v>
      </c>
      <c r="C8" s="74">
        <v>3037933</v>
      </c>
      <c r="D8" s="74">
        <v>3222486</v>
      </c>
      <c r="E8" s="74">
        <f>D8-C8</f>
        <v>184553</v>
      </c>
      <c r="F8" s="75">
        <f>E8/C8</f>
        <v>0.06074952936750087</v>
      </c>
    </row>
    <row r="9" spans="1:6" ht="91.5">
      <c r="A9" s="76" t="s">
        <v>60</v>
      </c>
      <c r="B9" s="74">
        <f>SUM(B10:B22)</f>
        <v>52221</v>
      </c>
      <c r="C9" s="74">
        <f>SUM(C10:C22)</f>
        <v>52221</v>
      </c>
      <c r="D9" s="74">
        <f>SUM(D10:D22)</f>
        <v>43933</v>
      </c>
      <c r="E9" s="74">
        <f>D9-C9</f>
        <v>-8288</v>
      </c>
      <c r="F9" s="75">
        <f>E9/C9</f>
        <v>-0.15871009747036632</v>
      </c>
    </row>
    <row r="10" spans="1:6" ht="91.5">
      <c r="A10" s="77" t="s">
        <v>61</v>
      </c>
      <c r="B10" s="78">
        <v>10712</v>
      </c>
      <c r="C10" s="78">
        <v>10712</v>
      </c>
      <c r="D10" s="78">
        <v>0</v>
      </c>
      <c r="E10" s="78">
        <f aca="true" t="shared" si="0" ref="E10:E27">D10-C10</f>
        <v>-10712</v>
      </c>
      <c r="F10" s="79">
        <f>E10/C10</f>
        <v>-1</v>
      </c>
    </row>
    <row r="11" spans="1:6" ht="91.5">
      <c r="A11" s="80" t="s">
        <v>62</v>
      </c>
      <c r="B11" s="78">
        <v>41509</v>
      </c>
      <c r="C11" s="78">
        <v>41509</v>
      </c>
      <c r="D11" s="78">
        <v>43933</v>
      </c>
      <c r="E11" s="78">
        <f t="shared" si="0"/>
        <v>2424</v>
      </c>
      <c r="F11" s="79">
        <f>E11/C11</f>
        <v>0.0583969741501843</v>
      </c>
    </row>
    <row r="12" spans="1:6" ht="91.5">
      <c r="A12" s="80" t="s">
        <v>65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v>0</v>
      </c>
    </row>
    <row r="15" spans="1:6" ht="91.5">
      <c r="A15" s="80" t="s">
        <v>74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v>0</v>
      </c>
    </row>
    <row r="16" spans="1:6" ht="91.5">
      <c r="A16" s="80" t="s">
        <v>63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v>0</v>
      </c>
    </row>
    <row r="23" spans="1:6" ht="91.5">
      <c r="A23" s="82" t="s">
        <v>50</v>
      </c>
      <c r="B23" s="83">
        <f>B24</f>
        <v>0</v>
      </c>
      <c r="C23" s="83">
        <f>C24</f>
        <v>0</v>
      </c>
      <c r="D23" s="83">
        <f>D24</f>
        <v>0</v>
      </c>
      <c r="E23" s="83">
        <f>E24</f>
        <v>0</v>
      </c>
      <c r="F23" s="75">
        <v>0</v>
      </c>
    </row>
    <row r="24" spans="1:6" ht="91.5">
      <c r="A24" s="77" t="s">
        <v>53</v>
      </c>
      <c r="B24" s="78">
        <v>0</v>
      </c>
      <c r="C24" s="78">
        <v>0</v>
      </c>
      <c r="D24" s="78">
        <v>0</v>
      </c>
      <c r="E24" s="78">
        <f t="shared" si="0"/>
        <v>0</v>
      </c>
      <c r="F24" s="79">
        <v>0</v>
      </c>
    </row>
    <row r="25" spans="1:6" ht="91.5">
      <c r="A25" s="76" t="s">
        <v>52</v>
      </c>
      <c r="B25" s="83">
        <f>B26</f>
        <v>0</v>
      </c>
      <c r="C25" s="83">
        <f>C26</f>
        <v>0</v>
      </c>
      <c r="D25" s="83">
        <f>D26</f>
        <v>0</v>
      </c>
      <c r="E25" s="83">
        <f>E26</f>
        <v>0</v>
      </c>
      <c r="F25" s="75">
        <v>0</v>
      </c>
    </row>
    <row r="26" spans="1:6" ht="91.5">
      <c r="A26" s="80" t="s">
        <v>53</v>
      </c>
      <c r="B26" s="78">
        <v>0</v>
      </c>
      <c r="C26" s="78">
        <v>0</v>
      </c>
      <c r="D26" s="78">
        <v>0</v>
      </c>
      <c r="E26" s="78">
        <f t="shared" si="0"/>
        <v>0</v>
      </c>
      <c r="F26" s="79">
        <v>0</v>
      </c>
    </row>
    <row r="27" spans="1:6" ht="91.5">
      <c r="A27" s="80" t="s">
        <v>54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v>0</v>
      </c>
    </row>
    <row r="28" spans="1:6" ht="91.5">
      <c r="A28" s="76" t="s">
        <v>14</v>
      </c>
      <c r="B28" s="85">
        <f>B27+B26+B24+B9+B8</f>
        <v>3090154</v>
      </c>
      <c r="C28" s="85">
        <f>C27+C26+C24+C9+C8</f>
        <v>3090154</v>
      </c>
      <c r="D28" s="85">
        <f>D27+D26+D24+D9+D8</f>
        <v>3266419</v>
      </c>
      <c r="E28" s="85">
        <f>E27+E26+E24+E9+E8</f>
        <v>176265</v>
      </c>
      <c r="F28" s="87">
        <f>E28/C28</f>
        <v>0.05704084650797339</v>
      </c>
    </row>
    <row r="29" spans="1:6" ht="91.5">
      <c r="A29" s="76"/>
      <c r="B29" s="88"/>
      <c r="C29" s="86"/>
      <c r="D29" s="86"/>
      <c r="E29" s="86"/>
      <c r="F29" s="89"/>
    </row>
    <row r="30" spans="1:6" ht="91.5">
      <c r="A30" s="82" t="s">
        <v>78</v>
      </c>
      <c r="B30" s="74">
        <v>0</v>
      </c>
      <c r="C30" s="74">
        <v>0</v>
      </c>
      <c r="D30" s="74">
        <v>0</v>
      </c>
      <c r="E30" s="74">
        <f>D30-C30</f>
        <v>0</v>
      </c>
      <c r="F30" s="75">
        <v>0</v>
      </c>
    </row>
    <row r="31" spans="1:6" ht="91.5">
      <c r="A31" s="80" t="s">
        <v>0</v>
      </c>
      <c r="B31" s="86"/>
      <c r="C31" s="86"/>
      <c r="D31" s="86"/>
      <c r="E31" s="86"/>
      <c r="F31" s="90"/>
    </row>
    <row r="32" spans="1:6" ht="91.5">
      <c r="A32" s="82" t="s">
        <v>15</v>
      </c>
      <c r="B32" s="74">
        <v>303418</v>
      </c>
      <c r="C32" s="74">
        <v>850000</v>
      </c>
      <c r="D32" s="74">
        <v>850000</v>
      </c>
      <c r="E32" s="74">
        <f>D32-C32</f>
        <v>0</v>
      </c>
      <c r="F32" s="75">
        <f>E32/C32</f>
        <v>0</v>
      </c>
    </row>
    <row r="33" spans="1:6" ht="91.5">
      <c r="A33" s="80" t="s">
        <v>0</v>
      </c>
      <c r="B33" s="86"/>
      <c r="C33" s="86"/>
      <c r="D33" s="86"/>
      <c r="E33" s="86"/>
      <c r="F33" s="87"/>
    </row>
    <row r="34" spans="1:6" ht="91.5">
      <c r="A34" s="82" t="s">
        <v>56</v>
      </c>
      <c r="B34" s="74">
        <v>1093992</v>
      </c>
      <c r="C34" s="74">
        <v>1100000</v>
      </c>
      <c r="D34" s="74">
        <v>1100000</v>
      </c>
      <c r="E34" s="74">
        <f>D34-C34</f>
        <v>0</v>
      </c>
      <c r="F34" s="75">
        <f>E34/C34</f>
        <v>0</v>
      </c>
    </row>
    <row r="35" spans="1:6" ht="91.5">
      <c r="A35" s="80" t="s">
        <v>0</v>
      </c>
      <c r="B35" s="86"/>
      <c r="C35" s="86"/>
      <c r="D35" s="86"/>
      <c r="E35" s="86"/>
      <c r="F35" s="87"/>
    </row>
    <row r="36" spans="1:6" ht="91.5">
      <c r="A36" s="82" t="s">
        <v>16</v>
      </c>
      <c r="B36" s="74">
        <v>3692000</v>
      </c>
      <c r="C36" s="74">
        <v>4034667</v>
      </c>
      <c r="D36" s="74">
        <v>4034667</v>
      </c>
      <c r="E36" s="74">
        <f>D36-C36</f>
        <v>0</v>
      </c>
      <c r="F36" s="75">
        <f>E36/C36</f>
        <v>0</v>
      </c>
    </row>
    <row r="37" spans="1:6" ht="91.5">
      <c r="A37" s="80"/>
      <c r="B37" s="86"/>
      <c r="C37" s="86"/>
      <c r="D37" s="86"/>
      <c r="E37" s="86"/>
      <c r="F37" s="87"/>
    </row>
    <row r="38" spans="1:6" ht="91.5">
      <c r="A38" s="118" t="s">
        <v>17</v>
      </c>
      <c r="B38" s="74">
        <f>B36+B34+B32+B28</f>
        <v>8179564</v>
      </c>
      <c r="C38" s="74">
        <f>C36+C34+C32+C28</f>
        <v>9074821</v>
      </c>
      <c r="D38" s="74">
        <f>D36+D34+D32+D28</f>
        <v>9251086</v>
      </c>
      <c r="E38" s="74">
        <f>D38-C38</f>
        <v>176265</v>
      </c>
      <c r="F38" s="101">
        <f>E38/C38</f>
        <v>0.019423523615507126</v>
      </c>
    </row>
    <row r="39" spans="1:6" ht="91.5">
      <c r="A39" s="91" t="s">
        <v>18</v>
      </c>
      <c r="B39" s="70"/>
      <c r="C39" s="70"/>
      <c r="D39" s="70"/>
      <c r="E39" s="70"/>
      <c r="F39" s="71"/>
    </row>
    <row r="40" spans="1:6" ht="91.5">
      <c r="A40" s="77" t="s">
        <v>19</v>
      </c>
      <c r="B40" s="78">
        <v>169313</v>
      </c>
      <c r="C40" s="78">
        <v>203023</v>
      </c>
      <c r="D40" s="78">
        <v>187779</v>
      </c>
      <c r="E40" s="78">
        <f>D40-C40</f>
        <v>-15244</v>
      </c>
      <c r="F40" s="92">
        <f>E40/C40</f>
        <v>-0.0750850888815553</v>
      </c>
    </row>
    <row r="41" spans="1:6" ht="91.5">
      <c r="A41" s="80" t="s">
        <v>20</v>
      </c>
      <c r="B41" s="78">
        <v>2644454</v>
      </c>
      <c r="C41" s="78">
        <v>3004792</v>
      </c>
      <c r="D41" s="78">
        <v>2929655</v>
      </c>
      <c r="E41" s="78">
        <f aca="true" t="shared" si="1" ref="E41:E52">D41-C41</f>
        <v>-75137</v>
      </c>
      <c r="F41" s="90">
        <f>E41/C41</f>
        <v>-0.02500572418989401</v>
      </c>
    </row>
    <row r="42" spans="1:6" ht="91.5">
      <c r="A42" s="80" t="s">
        <v>21</v>
      </c>
      <c r="B42" s="78">
        <v>1151277</v>
      </c>
      <c r="C42" s="78">
        <v>1587199</v>
      </c>
      <c r="D42" s="78">
        <v>1812348</v>
      </c>
      <c r="E42" s="78">
        <f t="shared" si="1"/>
        <v>225149</v>
      </c>
      <c r="F42" s="90">
        <f aca="true" t="shared" si="2" ref="F42:F53">E42/C42</f>
        <v>0.14185303796184348</v>
      </c>
    </row>
    <row r="43" spans="1:6" ht="91.5">
      <c r="A43" s="80" t="s">
        <v>49</v>
      </c>
      <c r="B43" s="78">
        <v>226286</v>
      </c>
      <c r="C43" s="78">
        <v>266871</v>
      </c>
      <c r="D43" s="78">
        <v>270934</v>
      </c>
      <c r="E43" s="78">
        <f t="shared" si="1"/>
        <v>4063</v>
      </c>
      <c r="F43" s="90">
        <f t="shared" si="2"/>
        <v>0.015224584162385571</v>
      </c>
    </row>
    <row r="44" spans="1:6" ht="91.5">
      <c r="A44" s="80" t="s">
        <v>22</v>
      </c>
      <c r="B44" s="78">
        <v>0</v>
      </c>
      <c r="C44" s="78">
        <v>0</v>
      </c>
      <c r="D44" s="78">
        <v>0</v>
      </c>
      <c r="E44" s="78">
        <f t="shared" si="1"/>
        <v>0</v>
      </c>
      <c r="F44" s="90">
        <v>0</v>
      </c>
    </row>
    <row r="45" spans="1:6" ht="91.5">
      <c r="A45" s="80" t="s">
        <v>23</v>
      </c>
      <c r="B45" s="78">
        <v>717430</v>
      </c>
      <c r="C45" s="78">
        <v>821336</v>
      </c>
      <c r="D45" s="78">
        <v>814836</v>
      </c>
      <c r="E45" s="78">
        <f t="shared" si="1"/>
        <v>-6500</v>
      </c>
      <c r="F45" s="90">
        <f t="shared" si="2"/>
        <v>-0.007913935344365765</v>
      </c>
    </row>
    <row r="46" spans="1:6" ht="91.5">
      <c r="A46" s="80" t="s">
        <v>24</v>
      </c>
      <c r="B46" s="78">
        <v>0</v>
      </c>
      <c r="C46" s="78">
        <v>0</v>
      </c>
      <c r="D46" s="78">
        <v>0</v>
      </c>
      <c r="E46" s="78">
        <f t="shared" si="1"/>
        <v>0</v>
      </c>
      <c r="F46" s="90">
        <v>0</v>
      </c>
    </row>
    <row r="47" spans="1:6" ht="91.5">
      <c r="A47" s="80" t="s">
        <v>25</v>
      </c>
      <c r="B47" s="78">
        <v>1141231</v>
      </c>
      <c r="C47" s="78">
        <v>1061600</v>
      </c>
      <c r="D47" s="78">
        <v>1105534</v>
      </c>
      <c r="E47" s="78">
        <f t="shared" si="1"/>
        <v>43934</v>
      </c>
      <c r="F47" s="90">
        <f t="shared" si="2"/>
        <v>0.04138470233609646</v>
      </c>
    </row>
    <row r="48" spans="1:6" ht="91.5">
      <c r="A48" s="93" t="s">
        <v>26</v>
      </c>
      <c r="B48" s="83">
        <f>SUM(B40:B47)</f>
        <v>6049991</v>
      </c>
      <c r="C48" s="83">
        <f>SUM(C40:C47)</f>
        <v>6944821</v>
      </c>
      <c r="D48" s="83">
        <f>SUM(D40:D47)</f>
        <v>7121086</v>
      </c>
      <c r="E48" s="83">
        <f>D48-C48</f>
        <v>176265</v>
      </c>
      <c r="F48" s="87">
        <f t="shared" si="2"/>
        <v>0.02538078375238181</v>
      </c>
    </row>
    <row r="49" spans="1:6" ht="91.5">
      <c r="A49" s="80" t="s">
        <v>27</v>
      </c>
      <c r="B49" s="78">
        <v>0</v>
      </c>
      <c r="C49" s="78">
        <v>0</v>
      </c>
      <c r="D49" s="78">
        <v>0</v>
      </c>
      <c r="E49" s="78">
        <f t="shared" si="1"/>
        <v>0</v>
      </c>
      <c r="F49" s="90">
        <v>0</v>
      </c>
    </row>
    <row r="50" spans="1:6" ht="91.5">
      <c r="A50" s="80" t="s">
        <v>28</v>
      </c>
      <c r="B50" s="78">
        <v>0</v>
      </c>
      <c r="C50" s="78">
        <v>0</v>
      </c>
      <c r="D50" s="78">
        <v>0</v>
      </c>
      <c r="E50" s="78">
        <f t="shared" si="1"/>
        <v>0</v>
      </c>
      <c r="F50" s="90">
        <v>0</v>
      </c>
    </row>
    <row r="51" spans="1:6" ht="91.5">
      <c r="A51" s="80" t="s">
        <v>29</v>
      </c>
      <c r="B51" s="78">
        <v>0</v>
      </c>
      <c r="C51" s="78">
        <v>0</v>
      </c>
      <c r="D51" s="78">
        <v>0</v>
      </c>
      <c r="E51" s="78">
        <f t="shared" si="1"/>
        <v>0</v>
      </c>
      <c r="F51" s="90">
        <v>0</v>
      </c>
    </row>
    <row r="52" spans="1:6" ht="91.5">
      <c r="A52" s="80" t="s">
        <v>30</v>
      </c>
      <c r="B52" s="78">
        <v>2129573</v>
      </c>
      <c r="C52" s="78">
        <v>2130000</v>
      </c>
      <c r="D52" s="78">
        <v>2130000</v>
      </c>
      <c r="E52" s="78">
        <f t="shared" si="1"/>
        <v>0</v>
      </c>
      <c r="F52" s="90">
        <f t="shared" si="2"/>
        <v>0</v>
      </c>
    </row>
    <row r="53" spans="1:6" ht="91.5">
      <c r="A53" s="94" t="s">
        <v>31</v>
      </c>
      <c r="B53" s="85">
        <f>B52+B51+B50+B49+B48</f>
        <v>8179564</v>
      </c>
      <c r="C53" s="85">
        <f>C52+C51+C50+C49+C48</f>
        <v>9074821</v>
      </c>
      <c r="D53" s="85">
        <f>D52+D51+D50+D49+D48</f>
        <v>9251086</v>
      </c>
      <c r="E53" s="85">
        <f>D53-C53</f>
        <v>176265</v>
      </c>
      <c r="F53" s="95">
        <f t="shared" si="2"/>
        <v>0.019423523615507126</v>
      </c>
    </row>
    <row r="54" spans="1:6" ht="91.5">
      <c r="A54" s="91" t="s">
        <v>32</v>
      </c>
      <c r="B54" s="70"/>
      <c r="C54" s="70"/>
      <c r="D54" s="70"/>
      <c r="E54" s="70"/>
      <c r="F54" s="71"/>
    </row>
    <row r="55" spans="1:6" ht="91.5">
      <c r="A55" s="77" t="s">
        <v>33</v>
      </c>
      <c r="B55" s="78">
        <v>0</v>
      </c>
      <c r="C55" s="78">
        <v>0</v>
      </c>
      <c r="D55" s="78">
        <v>0</v>
      </c>
      <c r="E55" s="78">
        <f>D55-C55</f>
        <v>0</v>
      </c>
      <c r="F55" s="92">
        <v>0</v>
      </c>
    </row>
    <row r="56" spans="1:6" ht="91.5">
      <c r="A56" s="80" t="s">
        <v>34</v>
      </c>
      <c r="B56" s="78">
        <v>0</v>
      </c>
      <c r="C56" s="78">
        <v>0</v>
      </c>
      <c r="D56" s="78">
        <v>0</v>
      </c>
      <c r="E56" s="78">
        <f>D56-C56</f>
        <v>0</v>
      </c>
      <c r="F56" s="90">
        <v>0</v>
      </c>
    </row>
    <row r="57" spans="1:6" ht="91.5">
      <c r="A57" s="80" t="s">
        <v>35</v>
      </c>
      <c r="B57" s="78">
        <v>0</v>
      </c>
      <c r="C57" s="78">
        <v>0</v>
      </c>
      <c r="D57" s="78">
        <v>0</v>
      </c>
      <c r="E57" s="78">
        <f>D57-C57</f>
        <v>0</v>
      </c>
      <c r="F57" s="90">
        <v>0</v>
      </c>
    </row>
    <row r="58" spans="1:6" ht="91.5">
      <c r="A58" s="93" t="s">
        <v>36</v>
      </c>
      <c r="B58" s="96">
        <f>SUM(B55:B57)</f>
        <v>0</v>
      </c>
      <c r="C58" s="96">
        <f>SUM(C55:C57)</f>
        <v>0</v>
      </c>
      <c r="D58" s="96">
        <f>SUM(D55:D57)</f>
        <v>0</v>
      </c>
      <c r="E58" s="96">
        <f aca="true" t="shared" si="3" ref="E58:E72">D58-C58</f>
        <v>0</v>
      </c>
      <c r="F58" s="97">
        <v>0</v>
      </c>
    </row>
    <row r="59" spans="1:6" ht="91.5">
      <c r="A59" s="80" t="s">
        <v>37</v>
      </c>
      <c r="B59" s="78">
        <v>14050</v>
      </c>
      <c r="C59" s="78">
        <v>14050</v>
      </c>
      <c r="D59" s="78">
        <v>20500</v>
      </c>
      <c r="E59" s="78">
        <f t="shared" si="3"/>
        <v>6450</v>
      </c>
      <c r="F59" s="90">
        <f>E59/C59</f>
        <v>0.45907473309608543</v>
      </c>
    </row>
    <row r="60" spans="1:6" ht="91.5">
      <c r="A60" s="80" t="s">
        <v>38</v>
      </c>
      <c r="B60" s="78">
        <v>323110</v>
      </c>
      <c r="C60" s="78">
        <v>323110</v>
      </c>
      <c r="D60" s="78">
        <v>322327</v>
      </c>
      <c r="E60" s="78">
        <f t="shared" si="3"/>
        <v>-783</v>
      </c>
      <c r="F60" s="90">
        <f>E60/C60</f>
        <v>-0.0024233233264213424</v>
      </c>
    </row>
    <row r="61" spans="1:6" ht="91.5">
      <c r="A61" s="80" t="s">
        <v>39</v>
      </c>
      <c r="B61" s="78">
        <v>114513</v>
      </c>
      <c r="C61" s="78">
        <v>114513</v>
      </c>
      <c r="D61" s="78">
        <v>93633</v>
      </c>
      <c r="E61" s="78">
        <f t="shared" si="3"/>
        <v>-20880</v>
      </c>
      <c r="F61" s="90">
        <f>E61/C61</f>
        <v>-0.18233737654240129</v>
      </c>
    </row>
    <row r="62" spans="1:6" ht="91.5">
      <c r="A62" s="76" t="s">
        <v>40</v>
      </c>
      <c r="B62" s="83">
        <f>SUM(B59:B61)</f>
        <v>451673</v>
      </c>
      <c r="C62" s="83">
        <f>SUM(C59:C61)</f>
        <v>451673</v>
      </c>
      <c r="D62" s="83">
        <f>SUM(D59:D61)</f>
        <v>436460</v>
      </c>
      <c r="E62" s="83">
        <f t="shared" si="3"/>
        <v>-15213</v>
      </c>
      <c r="F62" s="87">
        <f>E62/C62</f>
        <v>-0.03368144653322205</v>
      </c>
    </row>
    <row r="63" spans="1:6" ht="91.5">
      <c r="A63" s="80" t="s">
        <v>41</v>
      </c>
      <c r="B63" s="78">
        <v>0</v>
      </c>
      <c r="C63" s="78">
        <v>0</v>
      </c>
      <c r="D63" s="78">
        <v>0</v>
      </c>
      <c r="E63" s="78">
        <f t="shared" si="3"/>
        <v>0</v>
      </c>
      <c r="F63" s="90">
        <v>0</v>
      </c>
    </row>
    <row r="64" spans="1:6" ht="91.5">
      <c r="A64" s="80" t="s">
        <v>42</v>
      </c>
      <c r="B64" s="78">
        <v>7240656</v>
      </c>
      <c r="C64" s="78">
        <v>7792084</v>
      </c>
      <c r="D64" s="78">
        <v>8008314</v>
      </c>
      <c r="E64" s="78">
        <f t="shared" si="3"/>
        <v>216230</v>
      </c>
      <c r="F64" s="90">
        <f aca="true" t="shared" si="4" ref="F64:F72">E64/C64</f>
        <v>0.027749957520991818</v>
      </c>
    </row>
    <row r="65" spans="1:6" ht="91.5">
      <c r="A65" s="80" t="s">
        <v>43</v>
      </c>
      <c r="B65" s="78">
        <v>0</v>
      </c>
      <c r="C65" s="78">
        <v>0</v>
      </c>
      <c r="D65" s="78">
        <v>0</v>
      </c>
      <c r="E65" s="78">
        <f t="shared" si="3"/>
        <v>0</v>
      </c>
      <c r="F65" s="90">
        <v>0</v>
      </c>
    </row>
    <row r="66" spans="1:6" ht="91.5">
      <c r="A66" s="80" t="s">
        <v>44</v>
      </c>
      <c r="B66" s="78">
        <v>356134</v>
      </c>
      <c r="C66" s="78">
        <v>699963</v>
      </c>
      <c r="D66" s="78">
        <v>616915</v>
      </c>
      <c r="E66" s="78">
        <f t="shared" si="3"/>
        <v>-83048</v>
      </c>
      <c r="F66" s="90">
        <f t="shared" si="4"/>
        <v>-0.11864627130291172</v>
      </c>
    </row>
    <row r="67" spans="1:6" ht="91.5">
      <c r="A67" s="76" t="s">
        <v>45</v>
      </c>
      <c r="B67" s="85">
        <f>SUM(B63:B66)</f>
        <v>7596790</v>
      </c>
      <c r="C67" s="85">
        <f>SUM(C63:C66)</f>
        <v>8492047</v>
      </c>
      <c r="D67" s="85">
        <f>SUM(D63:D66)</f>
        <v>8625229</v>
      </c>
      <c r="E67" s="85">
        <f t="shared" si="3"/>
        <v>133182</v>
      </c>
      <c r="F67" s="87">
        <f t="shared" si="4"/>
        <v>0.01568314447623759</v>
      </c>
    </row>
    <row r="68" spans="1:6" ht="91.5">
      <c r="A68" s="80" t="s">
        <v>57</v>
      </c>
      <c r="B68" s="78">
        <v>5864</v>
      </c>
      <c r="C68" s="78">
        <v>5864</v>
      </c>
      <c r="D68" s="78">
        <v>64000</v>
      </c>
      <c r="E68" s="78">
        <f t="shared" si="3"/>
        <v>58136</v>
      </c>
      <c r="F68" s="90">
        <f t="shared" si="4"/>
        <v>9.914051841746248</v>
      </c>
    </row>
    <row r="69" spans="1:6" ht="91.5">
      <c r="A69" s="80" t="s">
        <v>46</v>
      </c>
      <c r="B69" s="78">
        <v>125237</v>
      </c>
      <c r="C69" s="78">
        <v>125237</v>
      </c>
      <c r="D69" s="78">
        <v>125397</v>
      </c>
      <c r="E69" s="78">
        <f t="shared" si="3"/>
        <v>160</v>
      </c>
      <c r="F69" s="90">
        <f t="shared" si="4"/>
        <v>0.0012775777126568027</v>
      </c>
    </row>
    <row r="70" spans="1:6" ht="91.5">
      <c r="A70" s="98" t="s">
        <v>47</v>
      </c>
      <c r="B70" s="78">
        <v>0</v>
      </c>
      <c r="C70" s="78">
        <v>0</v>
      </c>
      <c r="D70" s="78">
        <v>0</v>
      </c>
      <c r="E70" s="78">
        <f t="shared" si="3"/>
        <v>0</v>
      </c>
      <c r="F70" s="90">
        <v>0</v>
      </c>
    </row>
    <row r="71" spans="1:6" ht="91.5">
      <c r="A71" s="99" t="s">
        <v>48</v>
      </c>
      <c r="B71" s="85">
        <f>SUM(B68:B70)</f>
        <v>131101</v>
      </c>
      <c r="C71" s="85">
        <f>SUM(C68:C70)</f>
        <v>131101</v>
      </c>
      <c r="D71" s="85">
        <f>SUM(D68:D70)</f>
        <v>189397</v>
      </c>
      <c r="E71" s="85">
        <f t="shared" si="3"/>
        <v>58296</v>
      </c>
      <c r="F71" s="95">
        <f t="shared" si="4"/>
        <v>0.44466480042104944</v>
      </c>
    </row>
    <row r="72" spans="1:6" ht="91.5">
      <c r="A72" s="94" t="s">
        <v>31</v>
      </c>
      <c r="B72" s="85">
        <f>B71+B67+B62+B58</f>
        <v>8179564</v>
      </c>
      <c r="C72" s="85">
        <f>C71+C67+C62+C58</f>
        <v>9074821</v>
      </c>
      <c r="D72" s="85">
        <f>D71+D67+D62+D58</f>
        <v>9251086</v>
      </c>
      <c r="E72" s="85">
        <f t="shared" si="3"/>
        <v>176265</v>
      </c>
      <c r="F72" s="95">
        <f t="shared" si="4"/>
        <v>0.019423523615507126</v>
      </c>
    </row>
    <row r="73" ht="91.5">
      <c r="A73" s="56" t="s">
        <v>186</v>
      </c>
    </row>
    <row r="74" ht="91.5">
      <c r="F74" s="100"/>
    </row>
    <row r="75" spans="1:6" ht="91.5">
      <c r="A75" s="56" t="s">
        <v>0</v>
      </c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.5" right="0.5" top="0" bottom="0" header="0" footer="0"/>
  <pageSetup fitToHeight="1" fitToWidth="1" horizontalDpi="600" verticalDpi="600" orientation="portrait" scale="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B1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2.66406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92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2339342</v>
      </c>
      <c r="C8" s="74">
        <v>2339342</v>
      </c>
      <c r="D8" s="74">
        <v>2843251</v>
      </c>
      <c r="E8" s="74">
        <f>D8-C8</f>
        <v>503909</v>
      </c>
      <c r="F8" s="75">
        <f>IF(ISERROR(E8/C8),0,(E8/C8))</f>
        <v>0.2154062980102952</v>
      </c>
    </row>
    <row r="9" spans="1:6" ht="91.5">
      <c r="A9" s="76" t="s">
        <v>60</v>
      </c>
      <c r="B9" s="74">
        <f>SUM(B10:B21)</f>
        <v>97713</v>
      </c>
      <c r="C9" s="74">
        <f>SUM(C10:C21)</f>
        <v>97713</v>
      </c>
      <c r="D9" s="74">
        <f>SUM(D10:D21)</f>
        <v>31707</v>
      </c>
      <c r="E9" s="74">
        <f aca="true" t="shared" si="0" ref="E9:E29">D9-C9</f>
        <v>-66006</v>
      </c>
      <c r="F9" s="75">
        <f aca="true" t="shared" si="1" ref="F9:F29">IF(ISERROR(E9/C9),0,(E9/C9))</f>
        <v>-0.6755088882748457</v>
      </c>
    </row>
    <row r="10" spans="1:6" ht="91.5">
      <c r="A10" s="77" t="s">
        <v>138</v>
      </c>
      <c r="B10" s="78">
        <v>68027</v>
      </c>
      <c r="C10" s="78">
        <v>68027</v>
      </c>
      <c r="D10" s="78">
        <v>0</v>
      </c>
      <c r="E10" s="78">
        <f t="shared" si="0"/>
        <v>-68027</v>
      </c>
      <c r="F10" s="79">
        <f t="shared" si="1"/>
        <v>-1</v>
      </c>
    </row>
    <row r="11" spans="1:6" ht="91.5">
      <c r="A11" s="80" t="s">
        <v>62</v>
      </c>
      <c r="B11" s="78">
        <v>29686</v>
      </c>
      <c r="C11" s="78">
        <v>29686</v>
      </c>
      <c r="D11" s="78">
        <v>31707</v>
      </c>
      <c r="E11" s="78">
        <f t="shared" si="0"/>
        <v>2021</v>
      </c>
      <c r="F11" s="79">
        <f t="shared" si="1"/>
        <v>0.06807922926632083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f t="shared" si="1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79">
        <f t="shared" si="1"/>
        <v>0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f t="shared" si="0"/>
        <v>0</v>
      </c>
      <c r="F24" s="136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s="50" customFormat="1" ht="90">
      <c r="A29" s="76" t="s">
        <v>14</v>
      </c>
      <c r="B29" s="74">
        <f>B28+B27+B25+B9+B8</f>
        <v>2437055</v>
      </c>
      <c r="C29" s="74">
        <f>C28+C27+C25+C9+C8</f>
        <v>2437055</v>
      </c>
      <c r="D29" s="74">
        <f>D28+D27+D25+D9+D8</f>
        <v>2874958</v>
      </c>
      <c r="E29" s="74">
        <f t="shared" si="0"/>
        <v>437903</v>
      </c>
      <c r="F29" s="75">
        <f t="shared" si="1"/>
        <v>0.17968531690913828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78</v>
      </c>
      <c r="B31" s="120">
        <v>0</v>
      </c>
      <c r="C31" s="120">
        <v>0</v>
      </c>
      <c r="D31" s="120">
        <v>0</v>
      </c>
      <c r="E31" s="120">
        <f>D31-C31</f>
        <v>0</v>
      </c>
      <c r="F31" s="132">
        <f>IF(ISERROR(E31/C31),0,(E31/C31))</f>
        <v>0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f>IF(ISERROR(E33/C33),0,(E33/C33))</f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v>1013495</v>
      </c>
      <c r="C35" s="120">
        <v>1481320</v>
      </c>
      <c r="D35" s="120">
        <v>1481365</v>
      </c>
      <c r="E35" s="120">
        <f>D35-C35</f>
        <v>45</v>
      </c>
      <c r="F35" s="136">
        <f>IF(ISERROR(E35/C35),0,(E35/C35))</f>
        <v>3.0378311235924717E-05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B37+B35+B33+B29</f>
        <v>3450550</v>
      </c>
      <c r="C39" s="120">
        <f>C37+C35+C33+C29</f>
        <v>3918375</v>
      </c>
      <c r="D39" s="120">
        <f>D37+D35+D33+D29</f>
        <v>4356323</v>
      </c>
      <c r="E39" s="120">
        <f>D39-C39</f>
        <v>437948</v>
      </c>
      <c r="F39" s="136">
        <f>IF(ISERROR(E39/C39),0,(E39/C39))</f>
        <v>0.11176776087025872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1258254</v>
      </c>
      <c r="C41" s="138">
        <f>1133340+36368</f>
        <v>1169708</v>
      </c>
      <c r="D41" s="138">
        <v>1376552</v>
      </c>
      <c r="E41" s="138">
        <f aca="true" t="shared" si="2" ref="E41:E73">D41-C41</f>
        <v>206844</v>
      </c>
      <c r="F41" s="139">
        <f>IF(ISERROR(E41/C41),0,(E41/C41))</f>
        <v>0.1768338764888331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 t="shared" si="2"/>
        <v>0</v>
      </c>
      <c r="F42" s="92">
        <f>IF(ISERROR(E42/C42),0,(E42/C42))</f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>IF(ISERROR(E43/C43),0,(E43/C43))</f>
        <v>0</v>
      </c>
    </row>
    <row r="44" spans="1:6" ht="91.5">
      <c r="A44" s="80" t="s">
        <v>49</v>
      </c>
      <c r="B44" s="78">
        <v>377538</v>
      </c>
      <c r="C44" s="78">
        <v>480900</v>
      </c>
      <c r="D44" s="78">
        <v>399741</v>
      </c>
      <c r="E44" s="78">
        <f t="shared" si="2"/>
        <v>-81159</v>
      </c>
      <c r="F44" s="90">
        <f aca="true" t="shared" si="3" ref="F44:F73">IF(ISERROR(E44/C44),0,(E44/C44))</f>
        <v>-0.16876481597005613</v>
      </c>
    </row>
    <row r="45" spans="1:6" ht="91.5">
      <c r="A45" s="80" t="s">
        <v>22</v>
      </c>
      <c r="B45" s="78">
        <v>543880</v>
      </c>
      <c r="C45" s="78">
        <v>506950</v>
      </c>
      <c r="D45" s="78">
        <v>568254</v>
      </c>
      <c r="E45" s="78">
        <f t="shared" si="2"/>
        <v>61304</v>
      </c>
      <c r="F45" s="90">
        <f t="shared" si="3"/>
        <v>0.12092711312752737</v>
      </c>
    </row>
    <row r="46" spans="1:6" ht="91.5">
      <c r="A46" s="80" t="s">
        <v>23</v>
      </c>
      <c r="B46" s="78">
        <v>747336</v>
      </c>
      <c r="C46" s="78">
        <v>1126100</v>
      </c>
      <c r="D46" s="78">
        <f>1235206+2522</f>
        <v>1237728</v>
      </c>
      <c r="E46" s="78">
        <f t="shared" si="2"/>
        <v>111628</v>
      </c>
      <c r="F46" s="90">
        <f t="shared" si="3"/>
        <v>0.09912796376875943</v>
      </c>
    </row>
    <row r="47" spans="1:6" ht="91.5">
      <c r="A47" s="80" t="s">
        <v>24</v>
      </c>
      <c r="B47" s="78">
        <v>0</v>
      </c>
      <c r="C47" s="78">
        <v>20000</v>
      </c>
      <c r="D47" s="78">
        <v>0</v>
      </c>
      <c r="E47" s="78">
        <f t="shared" si="2"/>
        <v>-20000</v>
      </c>
      <c r="F47" s="90">
        <f t="shared" si="3"/>
        <v>-1</v>
      </c>
    </row>
    <row r="48" spans="1:6" ht="91.5">
      <c r="A48" s="80" t="s">
        <v>25</v>
      </c>
      <c r="B48" s="78">
        <v>464821</v>
      </c>
      <c r="C48" s="78">
        <v>544745</v>
      </c>
      <c r="D48" s="78">
        <v>703763</v>
      </c>
      <c r="E48" s="78">
        <f t="shared" si="2"/>
        <v>159018</v>
      </c>
      <c r="F48" s="90">
        <f t="shared" si="3"/>
        <v>0.29191272980936034</v>
      </c>
    </row>
    <row r="49" spans="1:6" s="50" customFormat="1" ht="90">
      <c r="A49" s="76" t="s">
        <v>26</v>
      </c>
      <c r="B49" s="74">
        <f>SUM(B41:B48)</f>
        <v>3391829</v>
      </c>
      <c r="C49" s="74">
        <f>SUM(C41:C48)</f>
        <v>3848403</v>
      </c>
      <c r="D49" s="74">
        <f>SUM(D41:D48)</f>
        <v>4286038</v>
      </c>
      <c r="E49" s="74">
        <f t="shared" si="2"/>
        <v>437635</v>
      </c>
      <c r="F49" s="87">
        <f t="shared" si="3"/>
        <v>0.1137185996373041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2"/>
        <v>0</v>
      </c>
      <c r="F50" s="90">
        <f t="shared" si="3"/>
        <v>0</v>
      </c>
    </row>
    <row r="51" spans="1:6" ht="91.5">
      <c r="A51" s="80" t="s">
        <v>28</v>
      </c>
      <c r="B51" s="78">
        <v>58721</v>
      </c>
      <c r="C51" s="78">
        <v>69972</v>
      </c>
      <c r="D51" s="78">
        <v>70285</v>
      </c>
      <c r="E51" s="78">
        <f t="shared" si="2"/>
        <v>313</v>
      </c>
      <c r="F51" s="90">
        <f t="shared" si="3"/>
        <v>0.004473217858572001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f t="shared" si="2"/>
        <v>0</v>
      </c>
      <c r="F52" s="90">
        <f t="shared" si="3"/>
        <v>0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f t="shared" si="2"/>
        <v>0</v>
      </c>
      <c r="F53" s="90">
        <f t="shared" si="3"/>
        <v>0</v>
      </c>
    </row>
    <row r="54" spans="1:6" s="50" customFormat="1" ht="90">
      <c r="A54" s="148" t="s">
        <v>31</v>
      </c>
      <c r="B54" s="74">
        <f>B53+B52+B51+B50+B49</f>
        <v>3450550</v>
      </c>
      <c r="C54" s="74">
        <f>C53+C52+C51+C50+C49</f>
        <v>3918375</v>
      </c>
      <c r="D54" s="74">
        <f>D53+D52+D51+D50+D49</f>
        <v>4356323</v>
      </c>
      <c r="E54" s="74">
        <f t="shared" si="2"/>
        <v>437948</v>
      </c>
      <c r="F54" s="161">
        <f t="shared" si="3"/>
        <v>0.11176776087025872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v>1844034</v>
      </c>
      <c r="C56" s="78">
        <f>2100800+36368</f>
        <v>2137168</v>
      </c>
      <c r="D56" s="78">
        <f>2264369+2522</f>
        <v>2266891</v>
      </c>
      <c r="E56" s="78">
        <f t="shared" si="2"/>
        <v>129723</v>
      </c>
      <c r="F56" s="92">
        <f t="shared" si="3"/>
        <v>0.060698550605287</v>
      </c>
    </row>
    <row r="57" spans="1:6" ht="91.5">
      <c r="A57" s="80" t="s">
        <v>34</v>
      </c>
      <c r="B57" s="78">
        <v>179738</v>
      </c>
      <c r="C57" s="78">
        <v>127300</v>
      </c>
      <c r="D57" s="78">
        <v>183500</v>
      </c>
      <c r="E57" s="78">
        <f t="shared" si="2"/>
        <v>56200</v>
      </c>
      <c r="F57" s="90">
        <f t="shared" si="3"/>
        <v>0.44147682639434405</v>
      </c>
    </row>
    <row r="58" spans="1:6" ht="91.5">
      <c r="A58" s="80" t="s">
        <v>35</v>
      </c>
      <c r="B58" s="78">
        <v>573544</v>
      </c>
      <c r="C58" s="78">
        <v>566340</v>
      </c>
      <c r="D58" s="78">
        <v>674622</v>
      </c>
      <c r="E58" s="78">
        <f t="shared" si="2"/>
        <v>108282</v>
      </c>
      <c r="F58" s="90">
        <f t="shared" si="3"/>
        <v>0.19119610128191547</v>
      </c>
    </row>
    <row r="59" spans="1:6" ht="91.5">
      <c r="A59" s="93" t="s">
        <v>36</v>
      </c>
      <c r="B59" s="96">
        <f>SUM(B56:B58)</f>
        <v>2597316</v>
      </c>
      <c r="C59" s="96">
        <f>SUM(C56:C58)</f>
        <v>2830808</v>
      </c>
      <c r="D59" s="96">
        <f>SUM(D56:D58)</f>
        <v>3125013</v>
      </c>
      <c r="E59" s="96">
        <f t="shared" si="2"/>
        <v>294205</v>
      </c>
      <c r="F59" s="97">
        <f t="shared" si="3"/>
        <v>0.10392969074553979</v>
      </c>
    </row>
    <row r="60" spans="1:6" ht="91.5">
      <c r="A60" s="80" t="s">
        <v>37</v>
      </c>
      <c r="B60" s="78">
        <v>28755</v>
      </c>
      <c r="C60" s="78">
        <v>28900</v>
      </c>
      <c r="D60" s="78">
        <v>31780</v>
      </c>
      <c r="E60" s="78">
        <f t="shared" si="2"/>
        <v>2880</v>
      </c>
      <c r="F60" s="90">
        <f t="shared" si="3"/>
        <v>0.09965397923875433</v>
      </c>
    </row>
    <row r="61" spans="1:6" ht="91.5">
      <c r="A61" s="80" t="s">
        <v>38</v>
      </c>
      <c r="B61" s="78">
        <v>491967</v>
      </c>
      <c r="C61" s="78">
        <v>721995</v>
      </c>
      <c r="D61" s="78">
        <v>851245</v>
      </c>
      <c r="E61" s="78">
        <f t="shared" si="2"/>
        <v>129250</v>
      </c>
      <c r="F61" s="90">
        <f t="shared" si="3"/>
        <v>0.17901786023448915</v>
      </c>
    </row>
    <row r="62" spans="1:6" ht="91.5">
      <c r="A62" s="80" t="s">
        <v>39</v>
      </c>
      <c r="B62" s="78">
        <v>89056</v>
      </c>
      <c r="C62" s="78">
        <v>91000</v>
      </c>
      <c r="D62" s="78">
        <v>94650</v>
      </c>
      <c r="E62" s="78">
        <f t="shared" si="2"/>
        <v>3650</v>
      </c>
      <c r="F62" s="90">
        <f t="shared" si="3"/>
        <v>0.04010989010989011</v>
      </c>
    </row>
    <row r="63" spans="1:6" ht="91.5">
      <c r="A63" s="76" t="s">
        <v>40</v>
      </c>
      <c r="B63" s="83">
        <f>SUM(B60:B62)</f>
        <v>609778</v>
      </c>
      <c r="C63" s="83">
        <f>SUM(C60:C62)</f>
        <v>841895</v>
      </c>
      <c r="D63" s="83">
        <f>SUM(D60:D62)</f>
        <v>977675</v>
      </c>
      <c r="E63" s="83">
        <f t="shared" si="2"/>
        <v>135780</v>
      </c>
      <c r="F63" s="87">
        <f t="shared" si="3"/>
        <v>0.16127901935514524</v>
      </c>
    </row>
    <row r="64" spans="1:6" ht="91.5">
      <c r="A64" s="80" t="s">
        <v>41</v>
      </c>
      <c r="B64" s="78">
        <v>117302</v>
      </c>
      <c r="C64" s="78">
        <v>119100</v>
      </c>
      <c r="D64" s="78">
        <v>112950</v>
      </c>
      <c r="E64" s="78">
        <f t="shared" si="2"/>
        <v>-6150</v>
      </c>
      <c r="F64" s="90">
        <f t="shared" si="3"/>
        <v>-0.05163727959697733</v>
      </c>
    </row>
    <row r="65" spans="1:6" ht="91.5">
      <c r="A65" s="80" t="s">
        <v>42</v>
      </c>
      <c r="B65" s="78">
        <v>39180</v>
      </c>
      <c r="C65" s="78">
        <v>25700</v>
      </c>
      <c r="D65" s="78">
        <v>39900</v>
      </c>
      <c r="E65" s="78">
        <f t="shared" si="2"/>
        <v>14200</v>
      </c>
      <c r="F65" s="90">
        <f t="shared" si="3"/>
        <v>0.5525291828793775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2"/>
        <v>0</v>
      </c>
      <c r="F66" s="90">
        <f t="shared" si="3"/>
        <v>0</v>
      </c>
    </row>
    <row r="67" spans="1:6" ht="91.5">
      <c r="A67" s="80" t="s">
        <v>44</v>
      </c>
      <c r="B67" s="78">
        <v>58721</v>
      </c>
      <c r="C67" s="78">
        <v>69972</v>
      </c>
      <c r="D67" s="78">
        <v>70285</v>
      </c>
      <c r="E67" s="78">
        <f t="shared" si="2"/>
        <v>313</v>
      </c>
      <c r="F67" s="90">
        <f t="shared" si="3"/>
        <v>0.004473217858572001</v>
      </c>
    </row>
    <row r="68" spans="1:6" ht="91.5">
      <c r="A68" s="76" t="s">
        <v>45</v>
      </c>
      <c r="B68" s="85">
        <f>SUM(B64:B67)</f>
        <v>215203</v>
      </c>
      <c r="C68" s="85">
        <f>SUM(C64:C67)</f>
        <v>214772</v>
      </c>
      <c r="D68" s="85">
        <f>SUM(D64:D67)</f>
        <v>223135</v>
      </c>
      <c r="E68" s="85">
        <f t="shared" si="2"/>
        <v>8363</v>
      </c>
      <c r="F68" s="87">
        <f t="shared" si="3"/>
        <v>0.03893896783565828</v>
      </c>
    </row>
    <row r="69" spans="1:6" ht="91.5">
      <c r="A69" s="80" t="s">
        <v>57</v>
      </c>
      <c r="B69" s="78">
        <v>8250</v>
      </c>
      <c r="C69" s="78">
        <v>9400</v>
      </c>
      <c r="D69" s="78">
        <v>9000</v>
      </c>
      <c r="E69" s="78">
        <f t="shared" si="2"/>
        <v>-400</v>
      </c>
      <c r="F69" s="90">
        <f t="shared" si="3"/>
        <v>-0.0425531914893617</v>
      </c>
    </row>
    <row r="70" spans="1:6" ht="91.5">
      <c r="A70" s="80" t="s">
        <v>46</v>
      </c>
      <c r="B70" s="78">
        <v>20003</v>
      </c>
      <c r="C70" s="78">
        <v>21500</v>
      </c>
      <c r="D70" s="78">
        <v>21500</v>
      </c>
      <c r="E70" s="78">
        <f t="shared" si="2"/>
        <v>0</v>
      </c>
      <c r="F70" s="90">
        <f t="shared" si="3"/>
        <v>0</v>
      </c>
    </row>
    <row r="71" spans="1:6" ht="91.5">
      <c r="A71" s="98" t="s">
        <v>47</v>
      </c>
      <c r="B71" s="78">
        <v>0</v>
      </c>
      <c r="C71" s="78">
        <v>0</v>
      </c>
      <c r="D71" s="78">
        <v>0</v>
      </c>
      <c r="E71" s="78">
        <f t="shared" si="2"/>
        <v>0</v>
      </c>
      <c r="F71" s="90">
        <f t="shared" si="3"/>
        <v>0</v>
      </c>
    </row>
    <row r="72" spans="1:6" ht="91.5">
      <c r="A72" s="99" t="s">
        <v>48</v>
      </c>
      <c r="B72" s="85">
        <f>SUM(B69:B71)</f>
        <v>28253</v>
      </c>
      <c r="C72" s="85">
        <f>SUM(C69:C71)</f>
        <v>30900</v>
      </c>
      <c r="D72" s="85">
        <f>SUM(D69:D71)</f>
        <v>30500</v>
      </c>
      <c r="E72" s="85">
        <f t="shared" si="2"/>
        <v>-400</v>
      </c>
      <c r="F72" s="95">
        <f t="shared" si="3"/>
        <v>-0.012944983818770227</v>
      </c>
    </row>
    <row r="73" spans="1:6" ht="91.5">
      <c r="A73" s="94" t="s">
        <v>31</v>
      </c>
      <c r="B73" s="85">
        <f>B72+B68+B63+B59</f>
        <v>3450550</v>
      </c>
      <c r="C73" s="85">
        <f>C72+C68+C63+C59</f>
        <v>3918375</v>
      </c>
      <c r="D73" s="85">
        <f>D72+D68+D63+D59</f>
        <v>4356323</v>
      </c>
      <c r="E73" s="85">
        <f t="shared" si="2"/>
        <v>437948</v>
      </c>
      <c r="F73" s="95">
        <f t="shared" si="3"/>
        <v>0.11176776087025872</v>
      </c>
    </row>
    <row r="74" ht="91.5">
      <c r="A74" s="56" t="s">
        <v>186</v>
      </c>
    </row>
    <row r="75" spans="1:6" ht="91.5">
      <c r="A75" s="56" t="s">
        <v>0</v>
      </c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A1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7.44531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93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4053777</v>
      </c>
      <c r="C8" s="74">
        <v>4053777</v>
      </c>
      <c r="D8" s="74">
        <v>5716827</v>
      </c>
      <c r="E8" s="74">
        <f>D8-C8</f>
        <v>1663050</v>
      </c>
      <c r="F8" s="75">
        <f>IF(ISERROR(E8/C8),0,(E8/C8))</f>
        <v>0.41024703628245957</v>
      </c>
    </row>
    <row r="9" spans="1:6" ht="91.5">
      <c r="A9" s="76" t="s">
        <v>60</v>
      </c>
      <c r="B9" s="74">
        <f>SUM(B10:B21)</f>
        <v>77084</v>
      </c>
      <c r="C9" s="74">
        <f>SUM(C10:C21)</f>
        <v>77084</v>
      </c>
      <c r="D9" s="74">
        <f>SUM(D10:D21)</f>
        <v>48576</v>
      </c>
      <c r="E9" s="74">
        <f aca="true" t="shared" si="0" ref="E9:E29">D9-C9</f>
        <v>-28508</v>
      </c>
      <c r="F9" s="75">
        <f aca="true" t="shared" si="1" ref="F9:F29">IF(ISERROR(E9/C9),0,(E9/C9))</f>
        <v>-0.3698303149810596</v>
      </c>
    </row>
    <row r="10" spans="1:6" ht="91.5">
      <c r="A10" s="77" t="s">
        <v>138</v>
      </c>
      <c r="B10" s="78">
        <v>31710</v>
      </c>
      <c r="C10" s="78">
        <v>31710</v>
      </c>
      <c r="D10" s="78">
        <v>0</v>
      </c>
      <c r="E10" s="78">
        <f t="shared" si="0"/>
        <v>-31710</v>
      </c>
      <c r="F10" s="79">
        <f t="shared" si="1"/>
        <v>-1</v>
      </c>
    </row>
    <row r="11" spans="1:6" ht="91.5">
      <c r="A11" s="80" t="s">
        <v>62</v>
      </c>
      <c r="B11" s="78">
        <v>45374</v>
      </c>
      <c r="C11" s="78">
        <v>45374</v>
      </c>
      <c r="D11" s="78">
        <v>48576</v>
      </c>
      <c r="E11" s="78">
        <f t="shared" si="0"/>
        <v>3202</v>
      </c>
      <c r="F11" s="79">
        <f t="shared" si="1"/>
        <v>0.07056904835368273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f t="shared" si="1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79">
        <f t="shared" si="1"/>
        <v>0</v>
      </c>
    </row>
    <row r="24" spans="1:6" ht="91.5">
      <c r="A24" s="82" t="s">
        <v>50</v>
      </c>
      <c r="B24" s="120">
        <f>B25</f>
        <v>0</v>
      </c>
      <c r="C24" s="120">
        <f>C25</f>
        <v>0</v>
      </c>
      <c r="D24" s="120">
        <f>D25</f>
        <v>0</v>
      </c>
      <c r="E24" s="120">
        <f t="shared" si="0"/>
        <v>0</v>
      </c>
      <c r="F24" s="136">
        <f t="shared" si="1"/>
        <v>0</v>
      </c>
    </row>
    <row r="25" spans="1:6" ht="91.5">
      <c r="A25" s="77" t="s">
        <v>140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f>B27+B28</f>
        <v>0</v>
      </c>
      <c r="C26" s="83">
        <f>C27+C28</f>
        <v>0</v>
      </c>
      <c r="D26" s="83">
        <f>D27+D28</f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150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s="50" customFormat="1" ht="90">
      <c r="A29" s="76" t="s">
        <v>14</v>
      </c>
      <c r="B29" s="74">
        <f>B24+B9+B8</f>
        <v>4130861</v>
      </c>
      <c r="C29" s="74">
        <f>C24+C9+C8</f>
        <v>4130861</v>
      </c>
      <c r="D29" s="74">
        <f>D24+D9+D8</f>
        <v>5765403</v>
      </c>
      <c r="E29" s="74">
        <f t="shared" si="0"/>
        <v>1634542</v>
      </c>
      <c r="F29" s="75">
        <f t="shared" si="1"/>
        <v>0.3956903899695487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78</v>
      </c>
      <c r="B31" s="120">
        <v>0</v>
      </c>
      <c r="C31" s="120">
        <v>0</v>
      </c>
      <c r="D31" s="120">
        <v>0</v>
      </c>
      <c r="E31" s="120">
        <f>D31-C31</f>
        <v>0</v>
      </c>
      <c r="F31" s="132">
        <f>IF(ISERROR(E31/C31),0,(E31/C31))</f>
        <v>0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f>IF(ISERROR(E33/C33),0,(E33/C33))</f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f>7256852-4130861</f>
        <v>3125991</v>
      </c>
      <c r="C35" s="120">
        <v>3556894</v>
      </c>
      <c r="D35" s="120">
        <v>4300000</v>
      </c>
      <c r="E35" s="120">
        <f>D35-C35</f>
        <v>743106</v>
      </c>
      <c r="F35" s="136">
        <f>IF(ISERROR(E35/C35),0,(E35/C35))</f>
        <v>0.20891991720866576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B37+B35+B33+B29+1</f>
        <v>7256853</v>
      </c>
      <c r="C39" s="120">
        <f>C37+C35+C33+C29</f>
        <v>7687755</v>
      </c>
      <c r="D39" s="120">
        <f>D37+D35+D33+D29</f>
        <v>10065403</v>
      </c>
      <c r="E39" s="120">
        <f>D39-C39</f>
        <v>2377648</v>
      </c>
      <c r="F39" s="136">
        <f>IF(ISERROR(E39/C39),0,(E39/C39))</f>
        <v>0.309277285761578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3421977</v>
      </c>
      <c r="C41" s="138">
        <v>3665585</v>
      </c>
      <c r="D41" s="138">
        <v>4836039</v>
      </c>
      <c r="E41" s="138">
        <f aca="true" t="shared" si="2" ref="E41:E54">D41-C41</f>
        <v>1170454</v>
      </c>
      <c r="F41" s="139">
        <f aca="true" t="shared" si="3" ref="F41:F54">IF(ISERROR(E41/C41),0,(E41/C41))</f>
        <v>0.3193089234051318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 t="shared" si="2"/>
        <v>0</v>
      </c>
      <c r="F42" s="92">
        <f t="shared" si="3"/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3"/>
        <v>0</v>
      </c>
    </row>
    <row r="44" spans="1:6" ht="91.5">
      <c r="A44" s="80" t="s">
        <v>49</v>
      </c>
      <c r="B44" s="78">
        <v>817236</v>
      </c>
      <c r="C44" s="78">
        <v>994043</v>
      </c>
      <c r="D44" s="78">
        <v>1183515</v>
      </c>
      <c r="E44" s="78">
        <f t="shared" si="2"/>
        <v>189472</v>
      </c>
      <c r="F44" s="90">
        <f t="shared" si="3"/>
        <v>0.19060744857113826</v>
      </c>
    </row>
    <row r="45" spans="1:6" ht="91.5">
      <c r="A45" s="80" t="s">
        <v>22</v>
      </c>
      <c r="B45" s="78">
        <v>457716</v>
      </c>
      <c r="C45" s="78">
        <v>472102</v>
      </c>
      <c r="D45" s="78">
        <v>571422</v>
      </c>
      <c r="E45" s="78">
        <f t="shared" si="2"/>
        <v>99320</v>
      </c>
      <c r="F45" s="90">
        <f t="shared" si="3"/>
        <v>0.21037826571376525</v>
      </c>
    </row>
    <row r="46" spans="1:6" ht="91.5">
      <c r="A46" s="80" t="s">
        <v>23</v>
      </c>
      <c r="B46" s="78">
        <v>1329085</v>
      </c>
      <c r="C46" s="78">
        <v>1409617</v>
      </c>
      <c r="D46" s="78">
        <v>1908586</v>
      </c>
      <c r="E46" s="78">
        <f t="shared" si="2"/>
        <v>498969</v>
      </c>
      <c r="F46" s="90">
        <f t="shared" si="3"/>
        <v>0.35397487402606526</v>
      </c>
    </row>
    <row r="47" spans="1:6" ht="91.5">
      <c r="A47" s="80" t="s">
        <v>24</v>
      </c>
      <c r="B47" s="78">
        <v>133410</v>
      </c>
      <c r="C47" s="78">
        <v>100000</v>
      </c>
      <c r="D47" s="78">
        <v>130000</v>
      </c>
      <c r="E47" s="78">
        <f t="shared" si="2"/>
        <v>30000</v>
      </c>
      <c r="F47" s="90">
        <f t="shared" si="3"/>
        <v>0.3</v>
      </c>
    </row>
    <row r="48" spans="1:6" ht="91.5">
      <c r="A48" s="80" t="s">
        <v>25</v>
      </c>
      <c r="B48" s="78">
        <v>861986</v>
      </c>
      <c r="C48" s="78">
        <v>810839</v>
      </c>
      <c r="D48" s="78">
        <v>1174061</v>
      </c>
      <c r="E48" s="78">
        <f t="shared" si="2"/>
        <v>363222</v>
      </c>
      <c r="F48" s="90">
        <f t="shared" si="3"/>
        <v>0.4479582259856766</v>
      </c>
    </row>
    <row r="49" spans="1:6" s="50" customFormat="1" ht="90">
      <c r="A49" s="76" t="s">
        <v>26</v>
      </c>
      <c r="B49" s="74">
        <f>SUM(B41:B48)</f>
        <v>7021410</v>
      </c>
      <c r="C49" s="74">
        <f>SUM(C41:C48)</f>
        <v>7452186</v>
      </c>
      <c r="D49" s="74">
        <f>SUM(D41:D48)</f>
        <v>9803623</v>
      </c>
      <c r="E49" s="74">
        <f t="shared" si="2"/>
        <v>2351437</v>
      </c>
      <c r="F49" s="87">
        <f t="shared" si="3"/>
        <v>0.3155365418952238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2"/>
        <v>0</v>
      </c>
      <c r="F50" s="90">
        <f t="shared" si="3"/>
        <v>0</v>
      </c>
    </row>
    <row r="51" spans="1:6" ht="91.5">
      <c r="A51" s="80" t="s">
        <v>28</v>
      </c>
      <c r="B51" s="78">
        <v>235443</v>
      </c>
      <c r="C51" s="78">
        <v>235569</v>
      </c>
      <c r="D51" s="78">
        <v>261780</v>
      </c>
      <c r="E51" s="78">
        <f t="shared" si="2"/>
        <v>26211</v>
      </c>
      <c r="F51" s="90">
        <f t="shared" si="3"/>
        <v>0.11126676260458719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f t="shared" si="2"/>
        <v>0</v>
      </c>
      <c r="F52" s="90">
        <f t="shared" si="3"/>
        <v>0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f t="shared" si="2"/>
        <v>0</v>
      </c>
      <c r="F53" s="90">
        <f t="shared" si="3"/>
        <v>0</v>
      </c>
    </row>
    <row r="54" spans="1:6" s="50" customFormat="1" ht="90">
      <c r="A54" s="148" t="s">
        <v>31</v>
      </c>
      <c r="B54" s="74">
        <f>B53+B52+B51+B50+B49</f>
        <v>7256853</v>
      </c>
      <c r="C54" s="74">
        <f>C53+C52+C51+C50+C49</f>
        <v>7687755</v>
      </c>
      <c r="D54" s="74">
        <f>D53+D52+D51+D50+D49</f>
        <v>10065403</v>
      </c>
      <c r="E54" s="74">
        <f t="shared" si="2"/>
        <v>2377648</v>
      </c>
      <c r="F54" s="161">
        <f t="shared" si="3"/>
        <v>0.309277285761578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v>2590129</v>
      </c>
      <c r="C56" s="78">
        <v>3000454</v>
      </c>
      <c r="D56" s="78">
        <v>3709074</v>
      </c>
      <c r="E56" s="78">
        <f aca="true" t="shared" si="4" ref="E56:E73">D56-C56</f>
        <v>708620</v>
      </c>
      <c r="F56" s="92">
        <f aca="true" t="shared" si="5" ref="F56:F73">IF(ISERROR(E56/C56),0,(E56/C56))</f>
        <v>0.2361709261331785</v>
      </c>
    </row>
    <row r="57" spans="1:6" ht="91.5">
      <c r="A57" s="80" t="s">
        <v>34</v>
      </c>
      <c r="B57" s="78">
        <v>981412</v>
      </c>
      <c r="C57" s="78">
        <v>967197</v>
      </c>
      <c r="D57" s="78">
        <v>1132365</v>
      </c>
      <c r="E57" s="78">
        <f t="shared" si="4"/>
        <v>165168</v>
      </c>
      <c r="F57" s="90">
        <f t="shared" si="5"/>
        <v>0.1707697604521106</v>
      </c>
    </row>
    <row r="58" spans="1:6" ht="91.5">
      <c r="A58" s="80" t="s">
        <v>35</v>
      </c>
      <c r="B58" s="78">
        <v>809555</v>
      </c>
      <c r="C58" s="78">
        <v>897718</v>
      </c>
      <c r="D58" s="78">
        <v>1234005</v>
      </c>
      <c r="E58" s="78">
        <f t="shared" si="4"/>
        <v>336287</v>
      </c>
      <c r="F58" s="90">
        <f t="shared" si="5"/>
        <v>0.3746020465224046</v>
      </c>
    </row>
    <row r="59" spans="1:6" ht="91.5">
      <c r="A59" s="93" t="s">
        <v>36</v>
      </c>
      <c r="B59" s="96">
        <f>SUM(B56:B58)</f>
        <v>4381096</v>
      </c>
      <c r="C59" s="96">
        <f>SUM(C56:C58)</f>
        <v>4865369</v>
      </c>
      <c r="D59" s="96">
        <f>SUM(D56:D58)</f>
        <v>6075444</v>
      </c>
      <c r="E59" s="96">
        <f t="shared" si="4"/>
        <v>1210075</v>
      </c>
      <c r="F59" s="97">
        <f t="shared" si="5"/>
        <v>0.24871186543096732</v>
      </c>
    </row>
    <row r="60" spans="1:6" ht="91.5">
      <c r="A60" s="80" t="s">
        <v>37</v>
      </c>
      <c r="B60" s="78">
        <v>38241</v>
      </c>
      <c r="C60" s="78">
        <v>76950</v>
      </c>
      <c r="D60" s="78">
        <v>118500</v>
      </c>
      <c r="E60" s="78">
        <f t="shared" si="4"/>
        <v>41550</v>
      </c>
      <c r="F60" s="90">
        <f t="shared" si="5"/>
        <v>0.5399610136452242</v>
      </c>
    </row>
    <row r="61" spans="1:6" ht="91.5">
      <c r="A61" s="80" t="s">
        <v>38</v>
      </c>
      <c r="B61" s="78">
        <v>888916</v>
      </c>
      <c r="C61" s="78">
        <v>827860</v>
      </c>
      <c r="D61" s="78">
        <v>1045504</v>
      </c>
      <c r="E61" s="78">
        <f t="shared" si="4"/>
        <v>217644</v>
      </c>
      <c r="F61" s="90">
        <f t="shared" si="5"/>
        <v>0.2628995240741188</v>
      </c>
    </row>
    <row r="62" spans="1:6" ht="91.5">
      <c r="A62" s="80" t="s">
        <v>39</v>
      </c>
      <c r="B62" s="78">
        <v>106488</v>
      </c>
      <c r="C62" s="78">
        <v>102596</v>
      </c>
      <c r="D62" s="78">
        <v>167050</v>
      </c>
      <c r="E62" s="78">
        <f t="shared" si="4"/>
        <v>64454</v>
      </c>
      <c r="F62" s="90">
        <f t="shared" si="5"/>
        <v>0.6282311201216422</v>
      </c>
    </row>
    <row r="63" spans="1:6" ht="91.5">
      <c r="A63" s="76" t="s">
        <v>40</v>
      </c>
      <c r="B63" s="83">
        <f>SUM(B60:B62)</f>
        <v>1033645</v>
      </c>
      <c r="C63" s="83">
        <f>SUM(C60:C62)</f>
        <v>1007406</v>
      </c>
      <c r="D63" s="83">
        <f>SUM(D60:D62)</f>
        <v>1331054</v>
      </c>
      <c r="E63" s="83">
        <f t="shared" si="4"/>
        <v>323648</v>
      </c>
      <c r="F63" s="87">
        <f t="shared" si="5"/>
        <v>0.3212686841253675</v>
      </c>
    </row>
    <row r="64" spans="1:6" ht="91.5">
      <c r="A64" s="80" t="s">
        <v>41</v>
      </c>
      <c r="B64" s="78">
        <v>793031</v>
      </c>
      <c r="C64" s="78">
        <v>987786</v>
      </c>
      <c r="D64" s="78">
        <v>1250000</v>
      </c>
      <c r="E64" s="78">
        <f t="shared" si="4"/>
        <v>262214</v>
      </c>
      <c r="F64" s="90">
        <f t="shared" si="5"/>
        <v>0.26545628304106356</v>
      </c>
    </row>
    <row r="65" spans="1:6" ht="91.5">
      <c r="A65" s="80" t="s">
        <v>42</v>
      </c>
      <c r="B65" s="78">
        <v>148245</v>
      </c>
      <c r="C65" s="78">
        <v>135000</v>
      </c>
      <c r="D65" s="78">
        <v>160000</v>
      </c>
      <c r="E65" s="78">
        <f t="shared" si="4"/>
        <v>25000</v>
      </c>
      <c r="F65" s="90">
        <f t="shared" si="5"/>
        <v>0.18518518518518517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4"/>
        <v>0</v>
      </c>
      <c r="F66" s="90">
        <f t="shared" si="5"/>
        <v>0</v>
      </c>
    </row>
    <row r="67" spans="1:6" ht="91.5">
      <c r="A67" s="80" t="s">
        <v>44</v>
      </c>
      <c r="B67" s="78">
        <v>235443</v>
      </c>
      <c r="C67" s="78">
        <v>235569</v>
      </c>
      <c r="D67" s="78">
        <v>261780</v>
      </c>
      <c r="E67" s="78">
        <f t="shared" si="4"/>
        <v>26211</v>
      </c>
      <c r="F67" s="90">
        <f t="shared" si="5"/>
        <v>0.11126676260458719</v>
      </c>
    </row>
    <row r="68" spans="1:6" ht="91.5">
      <c r="A68" s="76" t="s">
        <v>45</v>
      </c>
      <c r="B68" s="85">
        <f>SUM(B64:B67)</f>
        <v>1176719</v>
      </c>
      <c r="C68" s="85">
        <f>SUM(C64:C67)</f>
        <v>1358355</v>
      </c>
      <c r="D68" s="85">
        <f>SUM(D64:D67)</f>
        <v>1671780</v>
      </c>
      <c r="E68" s="85">
        <f t="shared" si="4"/>
        <v>313425</v>
      </c>
      <c r="F68" s="87">
        <f t="shared" si="5"/>
        <v>0.2307386507945272</v>
      </c>
    </row>
    <row r="69" spans="1:6" ht="91.5">
      <c r="A69" s="80" t="s">
        <v>57</v>
      </c>
      <c r="B69" s="78">
        <v>644844</v>
      </c>
      <c r="C69" s="78">
        <v>431625</v>
      </c>
      <c r="D69" s="78">
        <v>952125</v>
      </c>
      <c r="E69" s="78">
        <f t="shared" si="4"/>
        <v>520500</v>
      </c>
      <c r="F69" s="90">
        <f t="shared" si="5"/>
        <v>1.2059079061685491</v>
      </c>
    </row>
    <row r="70" spans="1:6" ht="91.5">
      <c r="A70" s="80" t="s">
        <v>46</v>
      </c>
      <c r="B70" s="78">
        <v>20549</v>
      </c>
      <c r="C70" s="78">
        <v>25000</v>
      </c>
      <c r="D70" s="78">
        <v>35000</v>
      </c>
      <c r="E70" s="78">
        <f t="shared" si="4"/>
        <v>10000</v>
      </c>
      <c r="F70" s="90">
        <f t="shared" si="5"/>
        <v>0.4</v>
      </c>
    </row>
    <row r="71" spans="1:6" ht="91.5">
      <c r="A71" s="98" t="s">
        <v>47</v>
      </c>
      <c r="B71" s="78">
        <v>0</v>
      </c>
      <c r="C71" s="78">
        <v>0</v>
      </c>
      <c r="D71" s="78">
        <v>0</v>
      </c>
      <c r="E71" s="78">
        <f t="shared" si="4"/>
        <v>0</v>
      </c>
      <c r="F71" s="90">
        <f t="shared" si="5"/>
        <v>0</v>
      </c>
    </row>
    <row r="72" spans="1:6" ht="91.5">
      <c r="A72" s="99" t="s">
        <v>48</v>
      </c>
      <c r="B72" s="85">
        <f>SUM(B69:B71)</f>
        <v>665393</v>
      </c>
      <c r="C72" s="85">
        <f>SUM(C69:C71)</f>
        <v>456625</v>
      </c>
      <c r="D72" s="85">
        <f>SUM(D69:D71)</f>
        <v>987125</v>
      </c>
      <c r="E72" s="85">
        <f t="shared" si="4"/>
        <v>530500</v>
      </c>
      <c r="F72" s="95">
        <f t="shared" si="5"/>
        <v>1.161784834382699</v>
      </c>
    </row>
    <row r="73" spans="1:6" ht="91.5">
      <c r="A73" s="94" t="s">
        <v>31</v>
      </c>
      <c r="B73" s="85">
        <f>B72+B68+B63+B59</f>
        <v>7256853</v>
      </c>
      <c r="C73" s="85">
        <f>C72+C68+C63+C59</f>
        <v>7687755</v>
      </c>
      <c r="D73" s="85">
        <f>D72+D68+D63+D59</f>
        <v>10065403</v>
      </c>
      <c r="E73" s="85">
        <f t="shared" si="4"/>
        <v>2377648</v>
      </c>
      <c r="F73" s="95">
        <f t="shared" si="5"/>
        <v>0.309277285761578</v>
      </c>
    </row>
    <row r="74" ht="91.5">
      <c r="A74" s="56" t="s">
        <v>186</v>
      </c>
    </row>
    <row r="75" ht="91.5">
      <c r="F75" s="100"/>
    </row>
    <row r="76" spans="1:6" ht="91.5">
      <c r="A76" s="50"/>
      <c r="F76" s="100"/>
    </row>
    <row r="77" spans="1:6" ht="91.5">
      <c r="A77" s="56" t="s">
        <v>0</v>
      </c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A20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7.44531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94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3117311</v>
      </c>
      <c r="C8" s="74">
        <v>3117311</v>
      </c>
      <c r="D8" s="74">
        <v>3649833</v>
      </c>
      <c r="E8" s="74">
        <f>D8-C8</f>
        <v>532522</v>
      </c>
      <c r="F8" s="75">
        <f>IF(ISERROR(E8/C8),0,(E8/C8))</f>
        <v>0.17082735729607987</v>
      </c>
    </row>
    <row r="9" spans="1:6" ht="91.5">
      <c r="A9" s="76" t="s">
        <v>60</v>
      </c>
      <c r="B9" s="74">
        <f>SUM(B10:B21)</f>
        <v>33675</v>
      </c>
      <c r="C9" s="74">
        <f>SUM(C10:C21)</f>
        <v>33675</v>
      </c>
      <c r="D9" s="74">
        <f>SUM(D10:D21)</f>
        <v>17683</v>
      </c>
      <c r="E9" s="74">
        <f>D9-B9</f>
        <v>-15992</v>
      </c>
      <c r="F9" s="75">
        <f aca="true" t="shared" si="0" ref="F9:F29">IF(ISERROR(E9/C9),0,(E9/C9))</f>
        <v>-0.4748923533778768</v>
      </c>
    </row>
    <row r="10" spans="1:6" ht="91.5">
      <c r="A10" s="77" t="s">
        <v>138</v>
      </c>
      <c r="B10" s="78">
        <v>17854</v>
      </c>
      <c r="C10" s="78">
        <v>17854</v>
      </c>
      <c r="D10" s="78">
        <v>0</v>
      </c>
      <c r="E10" s="78">
        <f aca="true" t="shared" si="1" ref="E10:E29">D10-C10</f>
        <v>-17854</v>
      </c>
      <c r="F10" s="79">
        <f t="shared" si="0"/>
        <v>-1</v>
      </c>
    </row>
    <row r="11" spans="1:6" ht="91.5">
      <c r="A11" s="80" t="s">
        <v>62</v>
      </c>
      <c r="B11" s="78">
        <v>15821</v>
      </c>
      <c r="C11" s="78">
        <v>15821</v>
      </c>
      <c r="D11" s="78">
        <v>17683</v>
      </c>
      <c r="E11" s="78">
        <f t="shared" si="1"/>
        <v>1862</v>
      </c>
      <c r="F11" s="79">
        <f t="shared" si="0"/>
        <v>0.11769167562101004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1"/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1"/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1"/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1"/>
        <v>0</v>
      </c>
      <c r="F22" s="79">
        <f t="shared" si="0"/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f t="shared" si="1"/>
        <v>0</v>
      </c>
      <c r="F23" s="79">
        <f t="shared" si="0"/>
        <v>0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v>0</v>
      </c>
      <c r="F24" s="136">
        <f t="shared" si="0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1"/>
        <v>0</v>
      </c>
      <c r="F25" s="79">
        <f t="shared" si="0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1"/>
        <v>0</v>
      </c>
      <c r="F26" s="75">
        <f t="shared" si="0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1"/>
        <v>0</v>
      </c>
      <c r="F27" s="79">
        <f t="shared" si="0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1"/>
        <v>0</v>
      </c>
      <c r="F28" s="79">
        <f t="shared" si="0"/>
        <v>0</v>
      </c>
    </row>
    <row r="29" spans="1:6" s="50" customFormat="1" ht="90">
      <c r="A29" s="76" t="s">
        <v>14</v>
      </c>
      <c r="B29" s="74">
        <f>B28+B27+B25+B9+B8</f>
        <v>3150986</v>
      </c>
      <c r="C29" s="74">
        <f>C28+C27+C25+C9+C8</f>
        <v>3150986</v>
      </c>
      <c r="D29" s="74">
        <f>D28+D27+D25+D9+D8</f>
        <v>3667516</v>
      </c>
      <c r="E29" s="74">
        <f t="shared" si="1"/>
        <v>516530</v>
      </c>
      <c r="F29" s="75">
        <f t="shared" si="0"/>
        <v>0.16392646619185233</v>
      </c>
    </row>
    <row r="30" spans="1:6" ht="91.5">
      <c r="A30" s="76"/>
      <c r="B30" s="86"/>
      <c r="C30" s="86"/>
      <c r="D30" s="86"/>
      <c r="E30" s="86"/>
      <c r="F30" s="87" t="s">
        <v>0</v>
      </c>
    </row>
    <row r="31" spans="1:6" s="50" customFormat="1" ht="90">
      <c r="A31" s="131" t="s">
        <v>78</v>
      </c>
      <c r="B31" s="120">
        <v>0</v>
      </c>
      <c r="C31" s="120">
        <v>0</v>
      </c>
      <c r="D31" s="120">
        <v>0</v>
      </c>
      <c r="E31" s="120">
        <f>D31-C31</f>
        <v>0</v>
      </c>
      <c r="F31" s="132">
        <f>IF(ISERROR(E31/C31),0,(E31/C31))</f>
        <v>0</v>
      </c>
    </row>
    <row r="32" spans="1:6" ht="91.5">
      <c r="A32" s="82" t="s">
        <v>0</v>
      </c>
      <c r="B32" s="159"/>
      <c r="C32" s="159"/>
      <c r="D32" s="159"/>
      <c r="E32" s="159"/>
      <c r="F32" s="160" t="s">
        <v>0</v>
      </c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f>IF(ISERROR(E33/C33),0,(E33/C33))</f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 t="s">
        <v>0</v>
      </c>
    </row>
    <row r="35" spans="1:6" s="50" customFormat="1" ht="90">
      <c r="A35" s="131" t="s">
        <v>56</v>
      </c>
      <c r="B35" s="120">
        <v>1790816</v>
      </c>
      <c r="C35" s="120">
        <v>1800000</v>
      </c>
      <c r="D35" s="120">
        <v>2000000</v>
      </c>
      <c r="E35" s="120">
        <f>D35-C35</f>
        <v>200000</v>
      </c>
      <c r="F35" s="136">
        <f>IF(ISERROR(E35/C35),0,(E35/C35))</f>
        <v>0.1111111111111111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 t="s">
        <v>0</v>
      </c>
    </row>
    <row r="37" spans="1:6" s="50" customFormat="1" ht="90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 t="s">
        <v>0</v>
      </c>
    </row>
    <row r="39" spans="1:6" s="50" customFormat="1" ht="90">
      <c r="A39" s="131" t="s">
        <v>17</v>
      </c>
      <c r="B39" s="120">
        <f>B37+B35+B33+B29</f>
        <v>4941802</v>
      </c>
      <c r="C39" s="120">
        <f>C37+C35+C33+C29</f>
        <v>4950986</v>
      </c>
      <c r="D39" s="120">
        <f>D37+D35+D33+D29</f>
        <v>5667516</v>
      </c>
      <c r="E39" s="120">
        <f>D39-C39</f>
        <v>716530</v>
      </c>
      <c r="F39" s="136">
        <f>IF(ISERROR(E39/C39),0,(E39/C39))</f>
        <v>0.14472470736132156</v>
      </c>
    </row>
    <row r="40" spans="1:6" ht="91.5">
      <c r="A40" s="146" t="s">
        <v>18</v>
      </c>
      <c r="B40" s="134"/>
      <c r="C40" s="134"/>
      <c r="D40" s="134"/>
      <c r="E40" s="134"/>
      <c r="F40" s="147" t="s">
        <v>0</v>
      </c>
    </row>
    <row r="41" spans="1:6" ht="91.5">
      <c r="A41" s="137" t="s">
        <v>19</v>
      </c>
      <c r="B41" s="138">
        <v>1729448</v>
      </c>
      <c r="C41" s="138">
        <v>1733475</v>
      </c>
      <c r="D41" s="138">
        <v>1830960</v>
      </c>
      <c r="E41" s="138">
        <f>D41-C41</f>
        <v>97485</v>
      </c>
      <c r="F41" s="139">
        <f aca="true" t="shared" si="2" ref="F41:F54">IF(ISERROR(E41/C41),0,(E41/C41))</f>
        <v>0.056236749881019336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>D42-C42</f>
        <v>0</v>
      </c>
      <c r="F42" s="92">
        <f t="shared" si="2"/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aca="true" t="shared" si="3" ref="E43:E53">D43-C43</f>
        <v>0</v>
      </c>
      <c r="F43" s="90">
        <f t="shared" si="2"/>
        <v>0</v>
      </c>
    </row>
    <row r="44" spans="1:6" ht="91.5">
      <c r="A44" s="80" t="s">
        <v>49</v>
      </c>
      <c r="B44" s="78">
        <v>496412</v>
      </c>
      <c r="C44" s="78">
        <v>497660</v>
      </c>
      <c r="D44" s="78">
        <v>591726</v>
      </c>
      <c r="E44" s="78">
        <f t="shared" si="3"/>
        <v>94066</v>
      </c>
      <c r="F44" s="90">
        <f t="shared" si="2"/>
        <v>0.18901659767712897</v>
      </c>
    </row>
    <row r="45" spans="1:6" ht="91.5">
      <c r="A45" s="80" t="s">
        <v>22</v>
      </c>
      <c r="B45" s="78">
        <v>482553</v>
      </c>
      <c r="C45" s="78">
        <v>483075</v>
      </c>
      <c r="D45" s="78">
        <v>628460</v>
      </c>
      <c r="E45" s="78">
        <f t="shared" si="3"/>
        <v>145385</v>
      </c>
      <c r="F45" s="90">
        <f t="shared" si="2"/>
        <v>0.3009574082699374</v>
      </c>
    </row>
    <row r="46" spans="1:6" ht="91.5">
      <c r="A46" s="80" t="s">
        <v>23</v>
      </c>
      <c r="B46" s="78">
        <v>1561783</v>
      </c>
      <c r="C46" s="78">
        <v>1564790</v>
      </c>
      <c r="D46" s="78">
        <v>1793100</v>
      </c>
      <c r="E46" s="78">
        <f t="shared" si="3"/>
        <v>228310</v>
      </c>
      <c r="F46" s="90">
        <f t="shared" si="2"/>
        <v>0.1459045622735319</v>
      </c>
    </row>
    <row r="47" spans="1:6" ht="91.5">
      <c r="A47" s="80" t="s">
        <v>24</v>
      </c>
      <c r="B47" s="78">
        <v>196633</v>
      </c>
      <c r="C47" s="78">
        <v>196986</v>
      </c>
      <c r="D47" s="78">
        <v>200000</v>
      </c>
      <c r="E47" s="78">
        <f t="shared" si="3"/>
        <v>3014</v>
      </c>
      <c r="F47" s="90">
        <f t="shared" si="2"/>
        <v>0.01530057973663103</v>
      </c>
    </row>
    <row r="48" spans="1:6" ht="91.5">
      <c r="A48" s="80" t="s">
        <v>25</v>
      </c>
      <c r="B48" s="78">
        <v>474973</v>
      </c>
      <c r="C48" s="78">
        <v>475000</v>
      </c>
      <c r="D48" s="78">
        <v>623270</v>
      </c>
      <c r="E48" s="78">
        <f t="shared" si="3"/>
        <v>148270</v>
      </c>
      <c r="F48" s="90">
        <f t="shared" si="2"/>
        <v>0.3121473684210526</v>
      </c>
    </row>
    <row r="49" spans="1:6" s="50" customFormat="1" ht="90">
      <c r="A49" s="76" t="s">
        <v>26</v>
      </c>
      <c r="B49" s="74">
        <f>SUM(B41:B48)</f>
        <v>4941802</v>
      </c>
      <c r="C49" s="74">
        <f>SUM(C41:C48)</f>
        <v>4950986</v>
      </c>
      <c r="D49" s="74">
        <f>SUM(D41:D48)</f>
        <v>5667516</v>
      </c>
      <c r="E49" s="74">
        <f t="shared" si="3"/>
        <v>716530</v>
      </c>
      <c r="F49" s="87">
        <f t="shared" si="2"/>
        <v>0.14472470736132156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3"/>
        <v>0</v>
      </c>
      <c r="F50" s="90">
        <f t="shared" si="2"/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f t="shared" si="3"/>
        <v>0</v>
      </c>
      <c r="F51" s="90">
        <f t="shared" si="2"/>
        <v>0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f t="shared" si="3"/>
        <v>0</v>
      </c>
      <c r="F52" s="90">
        <f t="shared" si="2"/>
        <v>0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f t="shared" si="3"/>
        <v>0</v>
      </c>
      <c r="F53" s="90">
        <f t="shared" si="2"/>
        <v>0</v>
      </c>
    </row>
    <row r="54" spans="1:6" s="50" customFormat="1" ht="90">
      <c r="A54" s="148" t="s">
        <v>31</v>
      </c>
      <c r="B54" s="74">
        <f>B53+B52+B51+B50+B49</f>
        <v>4941802</v>
      </c>
      <c r="C54" s="74">
        <f>C53+C52+C51+C50+C49</f>
        <v>4950986</v>
      </c>
      <c r="D54" s="74">
        <f>D53+D52+D51+D50+D49</f>
        <v>5667516</v>
      </c>
      <c r="E54" s="74">
        <f>D54-C54</f>
        <v>716530</v>
      </c>
      <c r="F54" s="161">
        <f t="shared" si="2"/>
        <v>0.14472470736132156</v>
      </c>
    </row>
    <row r="55" spans="1:6" ht="91.5">
      <c r="A55" s="91" t="s">
        <v>32</v>
      </c>
      <c r="B55" s="70"/>
      <c r="C55" s="70"/>
      <c r="D55" s="70"/>
      <c r="E55" s="70"/>
      <c r="F55" s="71" t="s">
        <v>0</v>
      </c>
    </row>
    <row r="56" spans="1:6" ht="91.5">
      <c r="A56" s="77" t="s">
        <v>33</v>
      </c>
      <c r="B56" s="78">
        <v>2725064</v>
      </c>
      <c r="C56" s="78">
        <v>2729505</v>
      </c>
      <c r="D56" s="78">
        <v>3231975</v>
      </c>
      <c r="E56" s="78">
        <f aca="true" t="shared" si="4" ref="E56:E73">D56-C56</f>
        <v>502470</v>
      </c>
      <c r="F56" s="92">
        <f aca="true" t="shared" si="5" ref="F56:F73">IF(ISERROR(E56/C56),0,(E56/C56))</f>
        <v>0.18408832370704578</v>
      </c>
    </row>
    <row r="57" spans="1:6" ht="91.5">
      <c r="A57" s="80" t="s">
        <v>34</v>
      </c>
      <c r="B57" s="78">
        <v>52263</v>
      </c>
      <c r="C57" s="78">
        <v>55750</v>
      </c>
      <c r="D57" s="78">
        <v>50000</v>
      </c>
      <c r="E57" s="78">
        <f t="shared" si="4"/>
        <v>-5750</v>
      </c>
      <c r="F57" s="90">
        <f t="shared" si="5"/>
        <v>-0.1031390134529148</v>
      </c>
    </row>
    <row r="58" spans="1:6" ht="91.5">
      <c r="A58" s="80" t="s">
        <v>35</v>
      </c>
      <c r="B58" s="78">
        <v>710913</v>
      </c>
      <c r="C58" s="78">
        <v>706240</v>
      </c>
      <c r="D58" s="78">
        <v>828201</v>
      </c>
      <c r="E58" s="78">
        <f t="shared" si="4"/>
        <v>121961</v>
      </c>
      <c r="F58" s="90">
        <f t="shared" si="5"/>
        <v>0.17269058676937019</v>
      </c>
    </row>
    <row r="59" spans="1:6" ht="91.5">
      <c r="A59" s="93" t="s">
        <v>36</v>
      </c>
      <c r="B59" s="96">
        <f>SUM(B56:B58)</f>
        <v>3488240</v>
      </c>
      <c r="C59" s="96">
        <f>SUM(C56:C58)</f>
        <v>3491495</v>
      </c>
      <c r="D59" s="96">
        <f>SUM(D56:D58)</f>
        <v>4110176</v>
      </c>
      <c r="E59" s="96">
        <f t="shared" si="4"/>
        <v>618681</v>
      </c>
      <c r="F59" s="97">
        <f t="shared" si="5"/>
        <v>0.17719658770813076</v>
      </c>
    </row>
    <row r="60" spans="1:6" ht="91.5">
      <c r="A60" s="80" t="s">
        <v>37</v>
      </c>
      <c r="B60" s="78">
        <v>66306</v>
      </c>
      <c r="C60" s="78">
        <v>67900</v>
      </c>
      <c r="D60" s="78">
        <v>87200</v>
      </c>
      <c r="E60" s="78">
        <f t="shared" si="4"/>
        <v>19300</v>
      </c>
      <c r="F60" s="90">
        <f t="shared" si="5"/>
        <v>0.28424153166421207</v>
      </c>
    </row>
    <row r="61" spans="1:6" ht="91.5">
      <c r="A61" s="80" t="s">
        <v>38</v>
      </c>
      <c r="B61" s="78">
        <v>638743</v>
      </c>
      <c r="C61" s="78">
        <v>638234</v>
      </c>
      <c r="D61" s="78">
        <v>783535</v>
      </c>
      <c r="E61" s="78">
        <f t="shared" si="4"/>
        <v>145301</v>
      </c>
      <c r="F61" s="90">
        <f t="shared" si="5"/>
        <v>0.22766101461219554</v>
      </c>
    </row>
    <row r="62" spans="1:6" ht="91.5">
      <c r="A62" s="80" t="s">
        <v>39</v>
      </c>
      <c r="B62" s="78">
        <v>206902</v>
      </c>
      <c r="C62" s="78">
        <v>209804</v>
      </c>
      <c r="D62" s="78">
        <v>170987</v>
      </c>
      <c r="E62" s="78">
        <f t="shared" si="4"/>
        <v>-38817</v>
      </c>
      <c r="F62" s="90">
        <f t="shared" si="5"/>
        <v>-0.1850155383119483</v>
      </c>
    </row>
    <row r="63" spans="1:6" ht="91.5">
      <c r="A63" s="76" t="s">
        <v>40</v>
      </c>
      <c r="B63" s="83">
        <f>SUM(B60:B62)</f>
        <v>911951</v>
      </c>
      <c r="C63" s="83">
        <f>SUM(C60:C62)</f>
        <v>915938</v>
      </c>
      <c r="D63" s="83">
        <f>SUM(D60:D62)</f>
        <v>1041722</v>
      </c>
      <c r="E63" s="83">
        <f t="shared" si="4"/>
        <v>125784</v>
      </c>
      <c r="F63" s="87">
        <f t="shared" si="5"/>
        <v>0.13732807242411604</v>
      </c>
    </row>
    <row r="64" spans="1:6" ht="91.5">
      <c r="A64" s="80" t="s">
        <v>41</v>
      </c>
      <c r="B64" s="78">
        <v>45573</v>
      </c>
      <c r="C64" s="78">
        <v>45500</v>
      </c>
      <c r="D64" s="78">
        <v>24500</v>
      </c>
      <c r="E64" s="78">
        <f t="shared" si="4"/>
        <v>-21000</v>
      </c>
      <c r="F64" s="90">
        <f t="shared" si="5"/>
        <v>-0.46153846153846156</v>
      </c>
    </row>
    <row r="65" spans="1:6" ht="91.5">
      <c r="A65" s="80" t="s">
        <v>42</v>
      </c>
      <c r="B65" s="78">
        <v>267702</v>
      </c>
      <c r="C65" s="78">
        <v>269518</v>
      </c>
      <c r="D65" s="78">
        <v>285192</v>
      </c>
      <c r="E65" s="78">
        <f t="shared" si="4"/>
        <v>15674</v>
      </c>
      <c r="F65" s="90">
        <f t="shared" si="5"/>
        <v>0.05815567049325091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4"/>
        <v>0</v>
      </c>
      <c r="F66" s="90">
        <f t="shared" si="5"/>
        <v>0</v>
      </c>
    </row>
    <row r="67" spans="1:6" ht="91.5">
      <c r="A67" s="80" t="s">
        <v>44</v>
      </c>
      <c r="B67" s="78">
        <v>76374</v>
      </c>
      <c r="C67" s="78">
        <v>77500</v>
      </c>
      <c r="D67" s="78">
        <v>94926</v>
      </c>
      <c r="E67" s="78">
        <f t="shared" si="4"/>
        <v>17426</v>
      </c>
      <c r="F67" s="90">
        <f t="shared" si="5"/>
        <v>0.2248516129032258</v>
      </c>
    </row>
    <row r="68" spans="1:6" ht="91.5">
      <c r="A68" s="76" t="s">
        <v>45</v>
      </c>
      <c r="B68" s="85">
        <f>SUM(B64:B67)</f>
        <v>389649</v>
      </c>
      <c r="C68" s="85">
        <f>SUM(C64:C67)</f>
        <v>392518</v>
      </c>
      <c r="D68" s="85">
        <f>SUM(D64:D67)</f>
        <v>404618</v>
      </c>
      <c r="E68" s="85">
        <f t="shared" si="4"/>
        <v>12100</v>
      </c>
      <c r="F68" s="87">
        <f t="shared" si="5"/>
        <v>0.030826611773218042</v>
      </c>
    </row>
    <row r="69" spans="1:6" ht="91.5">
      <c r="A69" s="80" t="s">
        <v>57</v>
      </c>
      <c r="B69" s="78">
        <v>151962</v>
      </c>
      <c r="C69" s="78">
        <v>151035</v>
      </c>
      <c r="D69" s="78">
        <v>111000</v>
      </c>
      <c r="E69" s="78">
        <f t="shared" si="4"/>
        <v>-40035</v>
      </c>
      <c r="F69" s="90">
        <f t="shared" si="5"/>
        <v>-0.2650710100307876</v>
      </c>
    </row>
    <row r="70" spans="1:6" ht="91.5">
      <c r="A70" s="80" t="s">
        <v>46</v>
      </c>
      <c r="B70" s="78">
        <v>0</v>
      </c>
      <c r="C70" s="78">
        <v>0</v>
      </c>
      <c r="D70" s="78">
        <v>0</v>
      </c>
      <c r="E70" s="78">
        <f t="shared" si="4"/>
        <v>0</v>
      </c>
      <c r="F70" s="90">
        <f t="shared" si="5"/>
        <v>0</v>
      </c>
    </row>
    <row r="71" spans="1:6" ht="91.5">
      <c r="A71" s="98" t="s">
        <v>47</v>
      </c>
      <c r="B71" s="78">
        <v>0</v>
      </c>
      <c r="C71" s="78">
        <v>0</v>
      </c>
      <c r="D71" s="78">
        <v>0</v>
      </c>
      <c r="E71" s="78">
        <f t="shared" si="4"/>
        <v>0</v>
      </c>
      <c r="F71" s="90">
        <f t="shared" si="5"/>
        <v>0</v>
      </c>
    </row>
    <row r="72" spans="1:6" ht="91.5">
      <c r="A72" s="99" t="s">
        <v>48</v>
      </c>
      <c r="B72" s="85">
        <f>SUM(B69:B71)</f>
        <v>151962</v>
      </c>
      <c r="C72" s="85">
        <f>SUM(C69:C71)</f>
        <v>151035</v>
      </c>
      <c r="D72" s="85">
        <f>SUM(D69:D71)</f>
        <v>111000</v>
      </c>
      <c r="E72" s="85">
        <f t="shared" si="4"/>
        <v>-40035</v>
      </c>
      <c r="F72" s="95">
        <f t="shared" si="5"/>
        <v>-0.2650710100307876</v>
      </c>
    </row>
    <row r="73" spans="1:6" ht="91.5">
      <c r="A73" s="94" t="s">
        <v>31</v>
      </c>
      <c r="B73" s="85">
        <f>B72+B68+B63+B59</f>
        <v>4941802</v>
      </c>
      <c r="C73" s="85">
        <f>C72+C68+C63+C59</f>
        <v>4950986</v>
      </c>
      <c r="D73" s="85">
        <f>D72+D68+D63+D59</f>
        <v>5667516</v>
      </c>
      <c r="E73" s="85">
        <f t="shared" si="4"/>
        <v>716530</v>
      </c>
      <c r="F73" s="95">
        <f t="shared" si="5"/>
        <v>0.14472470736132156</v>
      </c>
    </row>
    <row r="74" ht="91.5">
      <c r="A74" s="56" t="s">
        <v>186</v>
      </c>
    </row>
    <row r="75" ht="91.5"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C31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2.66406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151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4759299</v>
      </c>
      <c r="C8" s="74">
        <v>4759299</v>
      </c>
      <c r="D8" s="74">
        <v>4899291</v>
      </c>
      <c r="E8" s="74">
        <f>D8-B8</f>
        <v>139992</v>
      </c>
      <c r="F8" s="75">
        <f>IF(ISERROR(E8/B8),0,(E8/B8))</f>
        <v>0.02941441586250412</v>
      </c>
    </row>
    <row r="9" spans="1:6" ht="91.5">
      <c r="A9" s="76" t="s">
        <v>60</v>
      </c>
      <c r="B9" s="74">
        <f>B10+B11</f>
        <v>185018</v>
      </c>
      <c r="C9" s="74">
        <f>C10+C11</f>
        <v>185018</v>
      </c>
      <c r="D9" s="74">
        <f>D10+D11</f>
        <v>545819</v>
      </c>
      <c r="E9" s="74">
        <f aca="true" t="shared" si="0" ref="E9:E29">D9-B9</f>
        <v>360801</v>
      </c>
      <c r="F9" s="75">
        <f aca="true" t="shared" si="1" ref="F9:F39">IF(ISERROR(E9/B9),0,(E9/B9))</f>
        <v>1.9500859375844513</v>
      </c>
    </row>
    <row r="10" spans="1:6" ht="91.5">
      <c r="A10" s="77" t="s">
        <v>138</v>
      </c>
      <c r="B10" s="78">
        <v>35238</v>
      </c>
      <c r="C10" s="78">
        <v>35238</v>
      </c>
      <c r="D10" s="78">
        <v>388630</v>
      </c>
      <c r="E10" s="78">
        <f t="shared" si="0"/>
        <v>353392</v>
      </c>
      <c r="F10" s="79">
        <f t="shared" si="1"/>
        <v>10.028718996537828</v>
      </c>
    </row>
    <row r="11" spans="1:6" ht="91.5">
      <c r="A11" s="80" t="s">
        <v>62</v>
      </c>
      <c r="B11" s="78">
        <v>149780</v>
      </c>
      <c r="C11" s="78">
        <v>149780</v>
      </c>
      <c r="D11" s="78">
        <v>157189</v>
      </c>
      <c r="E11" s="78">
        <f t="shared" si="0"/>
        <v>7409</v>
      </c>
      <c r="F11" s="79">
        <f t="shared" si="1"/>
        <v>0.049465883295500064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f t="shared" si="1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>IF(ISERROR(E20/B20),0,(E20/B20))</f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79">
        <f>IF(ISERROR(E23/B23),0,(E23/B23))</f>
        <v>0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f t="shared" si="0"/>
        <v>0</v>
      </c>
      <c r="F24" s="136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s="50" customFormat="1" ht="90">
      <c r="A29" s="76" t="s">
        <v>14</v>
      </c>
      <c r="B29" s="74">
        <f>B9+B8</f>
        <v>4944317</v>
      </c>
      <c r="C29" s="74">
        <f>C8+C9</f>
        <v>4944317</v>
      </c>
      <c r="D29" s="74">
        <f>D8+D9</f>
        <v>5445110</v>
      </c>
      <c r="E29" s="74">
        <f t="shared" si="0"/>
        <v>500793</v>
      </c>
      <c r="F29" s="75">
        <f t="shared" si="1"/>
        <v>0.1012865882183525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78</v>
      </c>
      <c r="B31" s="120">
        <v>-5491</v>
      </c>
      <c r="C31" s="120">
        <v>0</v>
      </c>
      <c r="D31" s="120">
        <v>0</v>
      </c>
      <c r="E31" s="120">
        <f>D31-B31</f>
        <v>5491</v>
      </c>
      <c r="F31" s="132">
        <f t="shared" si="1"/>
        <v>-1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D33-B33</f>
        <v>0</v>
      </c>
      <c r="F33" s="136">
        <f t="shared" si="1"/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v>1914873</v>
      </c>
      <c r="C35" s="120">
        <v>2880383</v>
      </c>
      <c r="D35" s="120">
        <v>3329441</v>
      </c>
      <c r="E35" s="120">
        <f>D35-B35</f>
        <v>1414568</v>
      </c>
      <c r="F35" s="136">
        <f t="shared" si="1"/>
        <v>0.738726798069637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v>0</v>
      </c>
      <c r="C37" s="120">
        <v>0</v>
      </c>
      <c r="D37" s="120">
        <v>0</v>
      </c>
      <c r="E37" s="120">
        <f>D37-B37</f>
        <v>0</v>
      </c>
      <c r="F37" s="136">
        <f t="shared" si="1"/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B37+B35+B33+B29+B31</f>
        <v>6853699</v>
      </c>
      <c r="C39" s="120">
        <f>C37+C35+C33+C29</f>
        <v>7824700</v>
      </c>
      <c r="D39" s="120">
        <f>D37+D35+D33+D29</f>
        <v>8774551</v>
      </c>
      <c r="E39" s="120">
        <f>D39-B39</f>
        <v>1920852</v>
      </c>
      <c r="F39" s="136">
        <f t="shared" si="1"/>
        <v>0.28026500726104253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2437979</v>
      </c>
      <c r="C41" s="138">
        <f>3648559+400388+100310+50000+100000-750000+341995</f>
        <v>3891252</v>
      </c>
      <c r="D41" s="138">
        <f>4062875</f>
        <v>4062875</v>
      </c>
      <c r="E41" s="138">
        <f aca="true" t="shared" si="2" ref="E41:E54">D41-B41</f>
        <v>1624896</v>
      </c>
      <c r="F41" s="139">
        <f aca="true" t="shared" si="3" ref="F41:F54">IF(ISERROR(E41/B41),0,(E41/B41))</f>
        <v>0.666493025575692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 t="shared" si="2"/>
        <v>0</v>
      </c>
      <c r="F42" s="92">
        <f t="shared" si="3"/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3"/>
        <v>0</v>
      </c>
    </row>
    <row r="44" spans="1:6" ht="91.5">
      <c r="A44" s="80" t="s">
        <v>49</v>
      </c>
      <c r="B44" s="78">
        <v>639688</v>
      </c>
      <c r="C44" s="78">
        <v>548224</v>
      </c>
      <c r="D44" s="78">
        <v>683497</v>
      </c>
      <c r="E44" s="78">
        <f t="shared" si="2"/>
        <v>43809</v>
      </c>
      <c r="F44" s="90">
        <f t="shared" si="3"/>
        <v>0.06848494891259489</v>
      </c>
    </row>
    <row r="45" spans="1:6" ht="91.5">
      <c r="A45" s="80" t="s">
        <v>22</v>
      </c>
      <c r="B45" s="78">
        <v>487856</v>
      </c>
      <c r="C45" s="78">
        <v>426554</v>
      </c>
      <c r="D45" s="78">
        <v>545634</v>
      </c>
      <c r="E45" s="78">
        <f t="shared" si="2"/>
        <v>57778</v>
      </c>
      <c r="F45" s="90">
        <f t="shared" si="3"/>
        <v>0.11843248827522876</v>
      </c>
    </row>
    <row r="46" spans="1:6" ht="91.5">
      <c r="A46" s="80" t="s">
        <v>23</v>
      </c>
      <c r="B46" s="78">
        <v>1830938</v>
      </c>
      <c r="C46" s="78">
        <f>1796392+70000</f>
        <v>1866392</v>
      </c>
      <c r="D46" s="78">
        <f>2168351</f>
        <v>2168351</v>
      </c>
      <c r="E46" s="78">
        <f t="shared" si="2"/>
        <v>337413</v>
      </c>
      <c r="F46" s="90">
        <f t="shared" si="3"/>
        <v>0.18428423026885674</v>
      </c>
    </row>
    <row r="47" spans="1:6" ht="91.5">
      <c r="A47" s="80" t="s">
        <v>24</v>
      </c>
      <c r="B47" s="78">
        <v>14359</v>
      </c>
      <c r="C47" s="78">
        <v>100000</v>
      </c>
      <c r="D47" s="78">
        <v>0</v>
      </c>
      <c r="E47" s="78">
        <f t="shared" si="2"/>
        <v>-14359</v>
      </c>
      <c r="F47" s="90">
        <f t="shared" si="3"/>
        <v>-1</v>
      </c>
    </row>
    <row r="48" spans="1:6" ht="91.5">
      <c r="A48" s="80" t="s">
        <v>25</v>
      </c>
      <c r="B48" s="78">
        <v>1100884</v>
      </c>
      <c r="C48" s="78">
        <f>936627+55651</f>
        <v>992278</v>
      </c>
      <c r="D48" s="78">
        <v>1314194</v>
      </c>
      <c r="E48" s="78">
        <f t="shared" si="2"/>
        <v>213310</v>
      </c>
      <c r="F48" s="90">
        <f t="shared" si="3"/>
        <v>0.19376246725358892</v>
      </c>
    </row>
    <row r="49" spans="1:6" s="50" customFormat="1" ht="90">
      <c r="A49" s="76" t="s">
        <v>26</v>
      </c>
      <c r="B49" s="74">
        <f>SUM(B41:B48)</f>
        <v>6511704</v>
      </c>
      <c r="C49" s="74">
        <f>SUM(C41:C48)</f>
        <v>7824700</v>
      </c>
      <c r="D49" s="74">
        <f>SUM(D41:D48)</f>
        <v>8774551</v>
      </c>
      <c r="E49" s="74">
        <f t="shared" si="2"/>
        <v>2262847</v>
      </c>
      <c r="F49" s="87">
        <f t="shared" si="3"/>
        <v>0.3475045855892713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2"/>
        <v>0</v>
      </c>
      <c r="F50" s="90">
        <f t="shared" si="3"/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f t="shared" si="2"/>
        <v>0</v>
      </c>
      <c r="F51" s="90">
        <f t="shared" si="3"/>
        <v>0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f t="shared" si="2"/>
        <v>0</v>
      </c>
      <c r="F52" s="90">
        <f t="shared" si="3"/>
        <v>0</v>
      </c>
    </row>
    <row r="53" spans="1:6" ht="91.5">
      <c r="A53" s="80" t="s">
        <v>30</v>
      </c>
      <c r="B53" s="78">
        <v>341995</v>
      </c>
      <c r="C53" s="78">
        <v>0</v>
      </c>
      <c r="D53" s="78">
        <v>0</v>
      </c>
      <c r="E53" s="78">
        <f t="shared" si="2"/>
        <v>-341995</v>
      </c>
      <c r="F53" s="90">
        <f t="shared" si="3"/>
        <v>-1</v>
      </c>
    </row>
    <row r="54" spans="1:6" s="50" customFormat="1" ht="90">
      <c r="A54" s="148" t="s">
        <v>31</v>
      </c>
      <c r="B54" s="74">
        <f>B53+B52+B51+B50+B49</f>
        <v>6853699</v>
      </c>
      <c r="C54" s="74">
        <f>C53+C52+C51+C50+C49</f>
        <v>7824700</v>
      </c>
      <c r="D54" s="74">
        <f>D53+D52+D51+D50+D49</f>
        <v>8774551</v>
      </c>
      <c r="E54" s="74">
        <f t="shared" si="2"/>
        <v>1920852</v>
      </c>
      <c r="F54" s="161">
        <f t="shared" si="3"/>
        <v>0.28026500726104253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v>4132126</v>
      </c>
      <c r="C56" s="78">
        <f>4598154+400388-(750000*0.8)+(341995*0.8)</f>
        <v>4672138</v>
      </c>
      <c r="D56" s="78">
        <f>5833990-D57</f>
        <v>5793990</v>
      </c>
      <c r="E56" s="78">
        <f aca="true" t="shared" si="4" ref="E56:E73">D56-B56</f>
        <v>1661864</v>
      </c>
      <c r="F56" s="92">
        <f aca="true" t="shared" si="5" ref="F56:F73">IF(ISERROR(E56/B56),0,(E56/B56))</f>
        <v>0.40218134684179524</v>
      </c>
    </row>
    <row r="57" spans="1:6" ht="91.5">
      <c r="A57" s="80" t="s">
        <v>34</v>
      </c>
      <c r="B57" s="78">
        <v>0</v>
      </c>
      <c r="C57" s="78">
        <v>35900</v>
      </c>
      <c r="D57" s="78">
        <v>40000</v>
      </c>
      <c r="E57" s="78">
        <f t="shared" si="4"/>
        <v>40000</v>
      </c>
      <c r="F57" s="90">
        <f t="shared" si="5"/>
        <v>0</v>
      </c>
    </row>
    <row r="58" spans="1:6" ht="91.5">
      <c r="A58" s="80" t="s">
        <v>35</v>
      </c>
      <c r="B58" s="78">
        <v>1232583</v>
      </c>
      <c r="C58" s="78">
        <f>1622714+100310-(750000*0.2)+(341995*0.2)</f>
        <v>1641423</v>
      </c>
      <c r="D58" s="78">
        <f>1476819+233331</f>
        <v>1710150</v>
      </c>
      <c r="E58" s="78">
        <f t="shared" si="4"/>
        <v>477567</v>
      </c>
      <c r="F58" s="90">
        <f t="shared" si="5"/>
        <v>0.3874522040300734</v>
      </c>
    </row>
    <row r="59" spans="1:6" ht="91.5">
      <c r="A59" s="93" t="s">
        <v>36</v>
      </c>
      <c r="B59" s="96">
        <f>SUM(B56:B58)</f>
        <v>5364709</v>
      </c>
      <c r="C59" s="96">
        <f>SUM(C56:C58)</f>
        <v>6349461</v>
      </c>
      <c r="D59" s="96">
        <f>SUM(D56:D58)</f>
        <v>7544140</v>
      </c>
      <c r="E59" s="96">
        <f t="shared" si="4"/>
        <v>2179431</v>
      </c>
      <c r="F59" s="97">
        <f t="shared" si="5"/>
        <v>0.40625334943610175</v>
      </c>
    </row>
    <row r="60" spans="1:6" ht="91.5">
      <c r="A60" s="80" t="s">
        <v>37</v>
      </c>
      <c r="B60" s="78">
        <v>37251</v>
      </c>
      <c r="C60" s="78">
        <v>48077</v>
      </c>
      <c r="D60" s="78">
        <v>51090</v>
      </c>
      <c r="E60" s="78">
        <f t="shared" si="4"/>
        <v>13839</v>
      </c>
      <c r="F60" s="90">
        <f t="shared" si="5"/>
        <v>0.37150680518643797</v>
      </c>
    </row>
    <row r="61" spans="1:6" ht="91.5">
      <c r="A61" s="80" t="s">
        <v>38</v>
      </c>
      <c r="B61" s="78">
        <v>608652</v>
      </c>
      <c r="C61" s="78">
        <f>688682+55651+70000</f>
        <v>814333</v>
      </c>
      <c r="D61" s="78">
        <v>763296</v>
      </c>
      <c r="E61" s="78">
        <f t="shared" si="4"/>
        <v>154644</v>
      </c>
      <c r="F61" s="90">
        <f t="shared" si="5"/>
        <v>0.25407622089469845</v>
      </c>
    </row>
    <row r="62" spans="1:6" ht="91.5">
      <c r="A62" s="80" t="s">
        <v>39</v>
      </c>
      <c r="B62" s="78">
        <v>195292</v>
      </c>
      <c r="C62" s="78">
        <f>219482+50000</f>
        <v>269482</v>
      </c>
      <c r="D62" s="78">
        <v>214398</v>
      </c>
      <c r="E62" s="78">
        <f t="shared" si="4"/>
        <v>19106</v>
      </c>
      <c r="F62" s="90">
        <f t="shared" si="5"/>
        <v>0.09783298855047826</v>
      </c>
    </row>
    <row r="63" spans="1:6" ht="91.5">
      <c r="A63" s="76" t="s">
        <v>40</v>
      </c>
      <c r="B63" s="83">
        <f>SUM(B60:B62)</f>
        <v>841195</v>
      </c>
      <c r="C63" s="83">
        <f>SUM(C60:C62)</f>
        <v>1131892</v>
      </c>
      <c r="D63" s="83">
        <f>SUM(D60:D62)</f>
        <v>1028784</v>
      </c>
      <c r="E63" s="83">
        <f t="shared" si="4"/>
        <v>187589</v>
      </c>
      <c r="F63" s="87">
        <f t="shared" si="5"/>
        <v>0.22300298979428076</v>
      </c>
    </row>
    <row r="64" spans="1:6" ht="91.5">
      <c r="A64" s="80" t="s">
        <v>41</v>
      </c>
      <c r="B64" s="78">
        <v>102469</v>
      </c>
      <c r="C64" s="78">
        <v>76579</v>
      </c>
      <c r="D64" s="78">
        <v>59344</v>
      </c>
      <c r="E64" s="78">
        <f t="shared" si="4"/>
        <v>-43125</v>
      </c>
      <c r="F64" s="90">
        <f t="shared" si="5"/>
        <v>-0.4208589914998683</v>
      </c>
    </row>
    <row r="65" spans="1:6" ht="91.5">
      <c r="A65" s="80" t="s">
        <v>42</v>
      </c>
      <c r="B65" s="78">
        <v>5445</v>
      </c>
      <c r="C65" s="78">
        <f>25000+100000</f>
        <v>125000</v>
      </c>
      <c r="D65" s="78">
        <f>25000</f>
        <v>25000</v>
      </c>
      <c r="E65" s="78">
        <f t="shared" si="4"/>
        <v>19555</v>
      </c>
      <c r="F65" s="90">
        <f t="shared" si="5"/>
        <v>3.591368227731864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4"/>
        <v>0</v>
      </c>
      <c r="F66" s="90">
        <f t="shared" si="5"/>
        <v>0</v>
      </c>
    </row>
    <row r="67" spans="1:6" ht="91.5">
      <c r="A67" s="80" t="s">
        <v>44</v>
      </c>
      <c r="B67" s="78">
        <v>341995</v>
      </c>
      <c r="C67" s="78">
        <v>0</v>
      </c>
      <c r="D67" s="78">
        <v>0</v>
      </c>
      <c r="E67" s="78">
        <f t="shared" si="4"/>
        <v>-341995</v>
      </c>
      <c r="F67" s="90">
        <f t="shared" si="5"/>
        <v>-1</v>
      </c>
    </row>
    <row r="68" spans="1:6" ht="91.5">
      <c r="A68" s="76" t="s">
        <v>45</v>
      </c>
      <c r="B68" s="85">
        <f>SUM(B64:B67)</f>
        <v>449909</v>
      </c>
      <c r="C68" s="85">
        <f>SUM(C64:C67)</f>
        <v>201579</v>
      </c>
      <c r="D68" s="85">
        <f>SUM(D64:D67)</f>
        <v>84344</v>
      </c>
      <c r="E68" s="85">
        <f t="shared" si="4"/>
        <v>-365565</v>
      </c>
      <c r="F68" s="87">
        <f t="shared" si="5"/>
        <v>-0.8125309784867607</v>
      </c>
    </row>
    <row r="69" spans="1:6" ht="91.5">
      <c r="A69" s="80" t="s">
        <v>57</v>
      </c>
      <c r="B69" s="78">
        <v>5528</v>
      </c>
      <c r="C69" s="78">
        <f>294+100000</f>
        <v>100294</v>
      </c>
      <c r="D69" s="78">
        <v>0</v>
      </c>
      <c r="E69" s="78">
        <f t="shared" si="4"/>
        <v>-5528</v>
      </c>
      <c r="F69" s="90">
        <f t="shared" si="5"/>
        <v>-1</v>
      </c>
    </row>
    <row r="70" spans="1:6" ht="91.5">
      <c r="A70" s="80" t="s">
        <v>46</v>
      </c>
      <c r="B70" s="78">
        <v>192358</v>
      </c>
      <c r="C70" s="78">
        <v>41474</v>
      </c>
      <c r="D70" s="78">
        <v>117283</v>
      </c>
      <c r="E70" s="78">
        <f t="shared" si="4"/>
        <v>-75075</v>
      </c>
      <c r="F70" s="90">
        <f t="shared" si="5"/>
        <v>-0.39028790068518077</v>
      </c>
    </row>
    <row r="71" spans="1:6" ht="91.5">
      <c r="A71" s="98" t="s">
        <v>47</v>
      </c>
      <c r="B71" s="78">
        <v>0</v>
      </c>
      <c r="C71" s="78">
        <v>0</v>
      </c>
      <c r="D71" s="78">
        <v>0</v>
      </c>
      <c r="E71" s="78">
        <f t="shared" si="4"/>
        <v>0</v>
      </c>
      <c r="F71" s="90">
        <f t="shared" si="5"/>
        <v>0</v>
      </c>
    </row>
    <row r="72" spans="1:6" ht="91.5">
      <c r="A72" s="99" t="s">
        <v>48</v>
      </c>
      <c r="B72" s="85">
        <f>SUM(B69:B71)</f>
        <v>197886</v>
      </c>
      <c r="C72" s="85">
        <f>SUM(C69:C71)</f>
        <v>141768</v>
      </c>
      <c r="D72" s="85">
        <f>SUM(D69:D71)</f>
        <v>117283</v>
      </c>
      <c r="E72" s="85">
        <f t="shared" si="4"/>
        <v>-80603</v>
      </c>
      <c r="F72" s="95">
        <f t="shared" si="5"/>
        <v>-0.4073203763783188</v>
      </c>
    </row>
    <row r="73" spans="1:6" ht="91.5">
      <c r="A73" s="94" t="s">
        <v>31</v>
      </c>
      <c r="B73" s="85">
        <f>B72+B68+B63+B59</f>
        <v>6853699</v>
      </c>
      <c r="C73" s="85">
        <f>C72+C68+C63+C59</f>
        <v>7824700</v>
      </c>
      <c r="D73" s="85">
        <f>D72+D68+D63+D59</f>
        <v>8774551</v>
      </c>
      <c r="E73" s="85">
        <f t="shared" si="4"/>
        <v>1920852</v>
      </c>
      <c r="F73" s="95">
        <f t="shared" si="5"/>
        <v>0.28026500726104253</v>
      </c>
    </row>
    <row r="74" ht="91.5">
      <c r="A74" s="56" t="s">
        <v>186</v>
      </c>
    </row>
    <row r="75" ht="91.5"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/>
  <pageMargins left="0" right="0" top="0" bottom="0" header="0" footer="0"/>
  <pageSetup fitToHeight="1" fitToWidth="1" horizontalDpi="600" verticalDpi="600" orientation="portrait" scale="1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A23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7.44531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152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f>C8</f>
        <v>34411179</v>
      </c>
      <c r="C8" s="74">
        <f>30823423+306775+548550-16647+2430638+318440</f>
        <v>34411179</v>
      </c>
      <c r="D8" s="74">
        <v>35574811</v>
      </c>
      <c r="E8" s="74">
        <f>+D8-C8</f>
        <v>1163632</v>
      </c>
      <c r="F8" s="75">
        <f>IF(ISERROR(E8/C8),0,(E8/C8))</f>
        <v>0.033815522566082376</v>
      </c>
    </row>
    <row r="9" spans="1:6" ht="91.5">
      <c r="A9" s="76" t="s">
        <v>60</v>
      </c>
      <c r="B9" s="74">
        <f>+B10+B11</f>
        <v>1754591</v>
      </c>
      <c r="C9" s="74">
        <f>+C10+C11</f>
        <v>1754591</v>
      </c>
      <c r="D9" s="74">
        <f>+D10+D11</f>
        <v>4723112</v>
      </c>
      <c r="E9" s="74">
        <f aca="true" t="shared" si="0" ref="E9:E29">+D9-C9</f>
        <v>2968521</v>
      </c>
      <c r="F9" s="75">
        <f aca="true" t="shared" si="1" ref="F9:F29">IF(ISERROR(E9/C9),0,(E9/C9))</f>
        <v>1.6918592424103396</v>
      </c>
    </row>
    <row r="10" spans="1:6" ht="91.5">
      <c r="A10" s="77" t="s">
        <v>138</v>
      </c>
      <c r="B10" s="78">
        <v>236288</v>
      </c>
      <c r="C10" s="78">
        <v>236288</v>
      </c>
      <c r="D10" s="78">
        <v>3123954</v>
      </c>
      <c r="E10" s="78">
        <f t="shared" si="0"/>
        <v>2887666</v>
      </c>
      <c r="F10" s="79">
        <f t="shared" si="1"/>
        <v>12.220959168472373</v>
      </c>
    </row>
    <row r="11" spans="1:6" ht="91.5">
      <c r="A11" s="80" t="s">
        <v>62</v>
      </c>
      <c r="B11" s="78">
        <v>1518303</v>
      </c>
      <c r="C11" s="78">
        <f>1270073+248230</f>
        <v>1518303</v>
      </c>
      <c r="D11" s="78">
        <v>1599158</v>
      </c>
      <c r="E11" s="78">
        <f t="shared" si="0"/>
        <v>80855</v>
      </c>
      <c r="F11" s="79">
        <f t="shared" si="1"/>
        <v>0.05325353371494359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f t="shared" si="1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79">
        <f t="shared" si="1"/>
        <v>0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f t="shared" si="0"/>
        <v>0</v>
      </c>
      <c r="F24" s="136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s="50" customFormat="1" ht="90">
      <c r="A29" s="76" t="s">
        <v>14</v>
      </c>
      <c r="B29" s="74">
        <f>+B8+B9</f>
        <v>36165770</v>
      </c>
      <c r="C29" s="74">
        <f>+C8+C9</f>
        <v>36165770</v>
      </c>
      <c r="D29" s="74">
        <f>+D8+D9</f>
        <v>40297923</v>
      </c>
      <c r="E29" s="74">
        <f t="shared" si="0"/>
        <v>4132153</v>
      </c>
      <c r="F29" s="75">
        <f t="shared" si="1"/>
        <v>0.11425591104516784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193</v>
      </c>
      <c r="B31" s="120">
        <v>0</v>
      </c>
      <c r="C31" s="120">
        <v>0</v>
      </c>
      <c r="D31" s="120">
        <v>0</v>
      </c>
      <c r="E31" s="120">
        <f>+D31-C31</f>
        <v>0</v>
      </c>
      <c r="F31" s="132">
        <f>IF(ISERROR(E31/C31),0,(E31/C31))</f>
        <v>0</v>
      </c>
    </row>
    <row r="32" spans="1:6" ht="91.5">
      <c r="A32" s="82" t="s">
        <v>0</v>
      </c>
      <c r="B32" s="159"/>
      <c r="C32" s="159"/>
      <c r="D32" s="159"/>
      <c r="E32" s="159"/>
      <c r="F32" s="160" t="s">
        <v>0</v>
      </c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+D33-C33</f>
        <v>0</v>
      </c>
      <c r="F33" s="136">
        <f>IF(ISERROR(E33/C33),0,(E33/C33))</f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v>24548254</v>
      </c>
      <c r="C35" s="120">
        <f>27354822-14468+5212</f>
        <v>27345566</v>
      </c>
      <c r="D35" s="120">
        <v>27341603</v>
      </c>
      <c r="E35" s="120">
        <f>+D35-C35</f>
        <v>-3963</v>
      </c>
      <c r="F35" s="136">
        <f>IF(ISERROR(E35/C35),0,(E35/C35))</f>
        <v>-0.0001449229465574053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v>0</v>
      </c>
      <c r="C37" s="120">
        <v>0</v>
      </c>
      <c r="D37" s="120">
        <v>0</v>
      </c>
      <c r="E37" s="120">
        <f>+D37-C37</f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+B29+B35+B31</f>
        <v>60714024</v>
      </c>
      <c r="C39" s="120">
        <f>+C29+C35</f>
        <v>63511336</v>
      </c>
      <c r="D39" s="120">
        <f>+D29+D35+1</f>
        <v>67639527</v>
      </c>
      <c r="E39" s="120">
        <f>+D39-C39</f>
        <v>4128191</v>
      </c>
      <c r="F39" s="136">
        <f>IF(ISERROR(E39/C39),0,(E39/C39))</f>
        <v>0.06499927823908475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30842860</v>
      </c>
      <c r="C41" s="138">
        <v>31227290</v>
      </c>
      <c r="D41" s="138">
        <v>35523789</v>
      </c>
      <c r="E41" s="138">
        <f aca="true" t="shared" si="2" ref="E41:E73">+D41-C41</f>
        <v>4296499</v>
      </c>
      <c r="F41" s="139">
        <f>IF(ISERROR(E41/C41),0,(E41/C41))</f>
        <v>0.13758795591932568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 t="shared" si="2"/>
        <v>0</v>
      </c>
      <c r="F42" s="92">
        <f aca="true" t="shared" si="3" ref="F42:F73">IF(ISERROR(E42/C42),0,(E42/C42))</f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3"/>
        <v>0</v>
      </c>
    </row>
    <row r="44" spans="1:6" ht="91.5">
      <c r="A44" s="80" t="s">
        <v>49</v>
      </c>
      <c r="B44" s="78">
        <v>4282026</v>
      </c>
      <c r="C44" s="78">
        <f>5392494+1642958</f>
        <v>7035452</v>
      </c>
      <c r="D44" s="78">
        <f>6366459+1810834</f>
        <v>8177293</v>
      </c>
      <c r="E44" s="78">
        <f t="shared" si="2"/>
        <v>1141841</v>
      </c>
      <c r="F44" s="90">
        <f t="shared" si="3"/>
        <v>0.16229817217145395</v>
      </c>
    </row>
    <row r="45" spans="1:6" ht="91.5">
      <c r="A45" s="80" t="s">
        <v>22</v>
      </c>
      <c r="B45" s="78">
        <v>3687323</v>
      </c>
      <c r="C45" s="78">
        <v>3657658</v>
      </c>
      <c r="D45" s="78">
        <v>4190195</v>
      </c>
      <c r="E45" s="78">
        <f t="shared" si="2"/>
        <v>532537</v>
      </c>
      <c r="F45" s="90">
        <f t="shared" si="3"/>
        <v>0.14559507750587944</v>
      </c>
    </row>
    <row r="46" spans="1:6" ht="91.5">
      <c r="A46" s="80" t="s">
        <v>23</v>
      </c>
      <c r="B46" s="78">
        <v>8407427</v>
      </c>
      <c r="C46" s="78">
        <v>7651004</v>
      </c>
      <c r="D46" s="78">
        <v>10115140</v>
      </c>
      <c r="E46" s="78">
        <f t="shared" si="2"/>
        <v>2464136</v>
      </c>
      <c r="F46" s="90">
        <f t="shared" si="3"/>
        <v>0.322067012381643</v>
      </c>
    </row>
    <row r="47" spans="1:6" ht="91.5">
      <c r="A47" s="80" t="s">
        <v>24</v>
      </c>
      <c r="B47" s="78">
        <v>948747</v>
      </c>
      <c r="C47" s="78">
        <v>936250</v>
      </c>
      <c r="D47" s="78">
        <v>936250</v>
      </c>
      <c r="E47" s="78">
        <f t="shared" si="2"/>
        <v>0</v>
      </c>
      <c r="F47" s="90">
        <f t="shared" si="3"/>
        <v>0</v>
      </c>
    </row>
    <row r="48" spans="1:6" ht="91.5">
      <c r="A48" s="80" t="s">
        <v>25</v>
      </c>
      <c r="B48" s="78">
        <v>9275477</v>
      </c>
      <c r="C48" s="78">
        <f>8755334+280872</f>
        <v>9036206</v>
      </c>
      <c r="D48" s="78">
        <v>8296863</v>
      </c>
      <c r="E48" s="78">
        <f t="shared" si="2"/>
        <v>-739343</v>
      </c>
      <c r="F48" s="90">
        <f t="shared" si="3"/>
        <v>-0.08182006917504979</v>
      </c>
    </row>
    <row r="49" spans="1:6" s="50" customFormat="1" ht="90">
      <c r="A49" s="76" t="s">
        <v>26</v>
      </c>
      <c r="B49" s="74">
        <f>SUM(B41:B48)+5</f>
        <v>57443865</v>
      </c>
      <c r="C49" s="74">
        <f>SUM(C41:C48)</f>
        <v>59543860</v>
      </c>
      <c r="D49" s="74">
        <f>SUM(D41:D48)</f>
        <v>67239530</v>
      </c>
      <c r="E49" s="74">
        <f t="shared" si="2"/>
        <v>7695670</v>
      </c>
      <c r="F49" s="87">
        <f t="shared" si="3"/>
        <v>0.12924372051123323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2"/>
        <v>0</v>
      </c>
      <c r="F50" s="90">
        <f t="shared" si="3"/>
        <v>0</v>
      </c>
    </row>
    <row r="51" spans="1:6" ht="91.5">
      <c r="A51" s="80" t="s">
        <v>28</v>
      </c>
      <c r="B51" s="78">
        <v>0</v>
      </c>
      <c r="C51" s="78">
        <v>818398</v>
      </c>
      <c r="D51" s="78">
        <v>0</v>
      </c>
      <c r="E51" s="78">
        <f t="shared" si="2"/>
        <v>-818398</v>
      </c>
      <c r="F51" s="90">
        <f t="shared" si="3"/>
        <v>-1</v>
      </c>
    </row>
    <row r="52" spans="1:6" ht="91.5">
      <c r="A52" s="80" t="s">
        <v>29</v>
      </c>
      <c r="B52" s="78">
        <v>521080</v>
      </c>
      <c r="C52" s="78">
        <v>400000</v>
      </c>
      <c r="D52" s="78">
        <v>400000</v>
      </c>
      <c r="E52" s="78">
        <f t="shared" si="2"/>
        <v>0</v>
      </c>
      <c r="F52" s="90">
        <f t="shared" si="3"/>
        <v>0</v>
      </c>
    </row>
    <row r="53" spans="1:6" ht="91.5">
      <c r="A53" s="80" t="s">
        <v>153</v>
      </c>
      <c r="B53" s="78">
        <v>2749078</v>
      </c>
      <c r="C53" s="78">
        <f>2430638+318440</f>
        <v>2749078</v>
      </c>
      <c r="D53" s="78">
        <v>0</v>
      </c>
      <c r="E53" s="78">
        <f t="shared" si="2"/>
        <v>-2749078</v>
      </c>
      <c r="F53" s="90">
        <f t="shared" si="3"/>
        <v>-1</v>
      </c>
    </row>
    <row r="54" spans="1:6" s="50" customFormat="1" ht="90">
      <c r="A54" s="148" t="s">
        <v>31</v>
      </c>
      <c r="B54" s="74">
        <f>+B49+B51+B52+B53+1</f>
        <v>60714024</v>
      </c>
      <c r="C54" s="74">
        <f>+C49+C51+C52+C53</f>
        <v>63511336</v>
      </c>
      <c r="D54" s="74">
        <f>+D49+D51+D52-3</f>
        <v>67639527</v>
      </c>
      <c r="E54" s="74">
        <f t="shared" si="2"/>
        <v>4128191</v>
      </c>
      <c r="F54" s="161">
        <f t="shared" si="3"/>
        <v>0.06499927823908475</v>
      </c>
    </row>
    <row r="55" spans="1:6" ht="91.5">
      <c r="A55" s="91" t="s">
        <v>32</v>
      </c>
      <c r="B55" s="70"/>
      <c r="C55" s="70"/>
      <c r="D55" s="70"/>
      <c r="E55" s="70">
        <f t="shared" si="2"/>
        <v>0</v>
      </c>
      <c r="F55" s="71">
        <f t="shared" si="3"/>
        <v>0</v>
      </c>
    </row>
    <row r="56" spans="1:6" ht="91.5">
      <c r="A56" s="77" t="s">
        <v>33</v>
      </c>
      <c r="B56" s="78">
        <v>34648798</v>
      </c>
      <c r="C56" s="78">
        <f>38021889+448000-31115</f>
        <v>38438774</v>
      </c>
      <c r="D56" s="78">
        <v>42081452</v>
      </c>
      <c r="E56" s="78">
        <f t="shared" si="2"/>
        <v>3642678</v>
      </c>
      <c r="F56" s="92">
        <f t="shared" si="3"/>
        <v>0.0947657175538429</v>
      </c>
    </row>
    <row r="57" spans="1:6" ht="91.5">
      <c r="A57" s="80" t="s">
        <v>34</v>
      </c>
      <c r="B57" s="78">
        <v>0</v>
      </c>
      <c r="C57" s="78">
        <v>100000</v>
      </c>
      <c r="D57" s="78">
        <v>100000</v>
      </c>
      <c r="E57" s="78">
        <f t="shared" si="2"/>
        <v>0</v>
      </c>
      <c r="F57" s="90">
        <f t="shared" si="3"/>
        <v>0</v>
      </c>
    </row>
    <row r="58" spans="1:6" ht="91.5">
      <c r="A58" s="80" t="s">
        <v>35</v>
      </c>
      <c r="B58" s="78">
        <v>10169906</v>
      </c>
      <c r="C58" s="78">
        <f>8631845+100550</f>
        <v>8732395</v>
      </c>
      <c r="D58" s="78">
        <v>11653043</v>
      </c>
      <c r="E58" s="78">
        <f t="shared" si="2"/>
        <v>2920648</v>
      </c>
      <c r="F58" s="90">
        <f t="shared" si="3"/>
        <v>0.334461278950391</v>
      </c>
    </row>
    <row r="59" spans="1:6" ht="91.5">
      <c r="A59" s="93" t="s">
        <v>36</v>
      </c>
      <c r="B59" s="96">
        <f>SUM(B56:B58)</f>
        <v>44818704</v>
      </c>
      <c r="C59" s="96">
        <f>SUM(C56:C58)</f>
        <v>47271169</v>
      </c>
      <c r="D59" s="96">
        <f>SUM(D56:D58)</f>
        <v>53834495</v>
      </c>
      <c r="E59" s="96">
        <f t="shared" si="2"/>
        <v>6563326</v>
      </c>
      <c r="F59" s="97">
        <f t="shared" si="3"/>
        <v>0.1388441652458394</v>
      </c>
    </row>
    <row r="60" spans="1:6" ht="91.5">
      <c r="A60" s="80" t="s">
        <v>37</v>
      </c>
      <c r="B60" s="78">
        <v>380410</v>
      </c>
      <c r="C60" s="78">
        <f>293054+1</f>
        <v>293055</v>
      </c>
      <c r="D60" s="78">
        <v>344546</v>
      </c>
      <c r="E60" s="78">
        <f t="shared" si="2"/>
        <v>51491</v>
      </c>
      <c r="F60" s="90">
        <f t="shared" si="3"/>
        <v>0.17570421934449165</v>
      </c>
    </row>
    <row r="61" spans="1:6" ht="91.5">
      <c r="A61" s="80" t="s">
        <v>38</v>
      </c>
      <c r="B61" s="78">
        <v>9823048</v>
      </c>
      <c r="C61" s="78">
        <f>8006521+311987-818398</f>
        <v>7500110</v>
      </c>
      <c r="D61" s="78">
        <v>7465708</v>
      </c>
      <c r="E61" s="78">
        <f t="shared" si="2"/>
        <v>-34402</v>
      </c>
      <c r="F61" s="90">
        <f t="shared" si="3"/>
        <v>-0.004586866059297797</v>
      </c>
    </row>
    <row r="62" spans="1:6" ht="91.5">
      <c r="A62" s="80" t="s">
        <v>39</v>
      </c>
      <c r="B62" s="78">
        <v>1275943</v>
      </c>
      <c r="C62" s="78">
        <f>1272161.49</f>
        <v>1272161.49</v>
      </c>
      <c r="D62" s="78">
        <f>1275742+1</f>
        <v>1275743</v>
      </c>
      <c r="E62" s="78">
        <f t="shared" si="2"/>
        <v>3581.5100000000093</v>
      </c>
      <c r="F62" s="90">
        <f t="shared" si="3"/>
        <v>0.0028152950927637413</v>
      </c>
    </row>
    <row r="63" spans="1:6" ht="91.5">
      <c r="A63" s="76" t="s">
        <v>40</v>
      </c>
      <c r="B63" s="83">
        <f>SUM(B60:B62)</f>
        <v>11479401</v>
      </c>
      <c r="C63" s="83">
        <f>SUM(C60:C62)</f>
        <v>9065326.49</v>
      </c>
      <c r="D63" s="83">
        <f>SUM(D60:D62)</f>
        <v>9085997</v>
      </c>
      <c r="E63" s="83">
        <f t="shared" si="2"/>
        <v>20670.509999999776</v>
      </c>
      <c r="F63" s="87">
        <f t="shared" si="3"/>
        <v>0.0022801727023071374</v>
      </c>
    </row>
    <row r="64" spans="1:6" ht="91.5">
      <c r="A64" s="80" t="s">
        <v>154</v>
      </c>
      <c r="B64" s="78">
        <v>726154</v>
      </c>
      <c r="C64" s="78">
        <v>864455</v>
      </c>
      <c r="D64" s="78">
        <v>917555</v>
      </c>
      <c r="E64" s="78">
        <f t="shared" si="2"/>
        <v>53100</v>
      </c>
      <c r="F64" s="90">
        <f t="shared" si="3"/>
        <v>0.06142598515827891</v>
      </c>
    </row>
    <row r="65" spans="1:6" ht="91.5">
      <c r="A65" s="80" t="s">
        <v>42</v>
      </c>
      <c r="B65" s="78">
        <v>-265775</v>
      </c>
      <c r="C65" s="78">
        <v>1364250</v>
      </c>
      <c r="D65" s="78">
        <v>2685364</v>
      </c>
      <c r="E65" s="78">
        <f t="shared" si="2"/>
        <v>1321114</v>
      </c>
      <c r="F65" s="90">
        <f t="shared" si="3"/>
        <v>0.9683811618105186</v>
      </c>
    </row>
    <row r="66" spans="1:6" ht="91.5">
      <c r="A66" s="80" t="s">
        <v>43</v>
      </c>
      <c r="B66" s="78"/>
      <c r="C66" s="78"/>
      <c r="D66" s="78"/>
      <c r="E66" s="78">
        <f t="shared" si="2"/>
        <v>0</v>
      </c>
      <c r="F66" s="90">
        <f t="shared" si="3"/>
        <v>0</v>
      </c>
    </row>
    <row r="67" spans="1:6" ht="91.5">
      <c r="A67" s="80" t="s">
        <v>44</v>
      </c>
      <c r="B67" s="78">
        <v>2749078</v>
      </c>
      <c r="C67" s="78">
        <f>818398+2749078</f>
        <v>3567476</v>
      </c>
      <c r="D67" s="78">
        <v>0</v>
      </c>
      <c r="E67" s="78">
        <f t="shared" si="2"/>
        <v>-3567476</v>
      </c>
      <c r="F67" s="90">
        <f t="shared" si="3"/>
        <v>-1</v>
      </c>
    </row>
    <row r="68" spans="1:6" ht="91.5">
      <c r="A68" s="76" t="s">
        <v>45</v>
      </c>
      <c r="B68" s="85">
        <f>SUM(B65:B67)</f>
        <v>2483303</v>
      </c>
      <c r="C68" s="85">
        <f>SUM(C65:C67)</f>
        <v>4931726</v>
      </c>
      <c r="D68" s="85">
        <f>SUM(D65:D67)</f>
        <v>2685364</v>
      </c>
      <c r="E68" s="85">
        <f t="shared" si="2"/>
        <v>-2246362</v>
      </c>
      <c r="F68" s="87">
        <f t="shared" si="3"/>
        <v>-0.4554920528837166</v>
      </c>
    </row>
    <row r="69" spans="1:6" ht="91.5">
      <c r="A69" s="80" t="s">
        <v>57</v>
      </c>
      <c r="B69" s="78">
        <v>549964</v>
      </c>
      <c r="C69" s="78">
        <v>459360.02</v>
      </c>
      <c r="D69" s="78">
        <v>498320</v>
      </c>
      <c r="E69" s="78">
        <f t="shared" si="2"/>
        <v>38959.97999999998</v>
      </c>
      <c r="F69" s="90">
        <f t="shared" si="3"/>
        <v>0.08481360654764858</v>
      </c>
    </row>
    <row r="70" spans="1:6" ht="91.5">
      <c r="A70" s="80" t="s">
        <v>46</v>
      </c>
      <c r="B70" s="78">
        <v>249230</v>
      </c>
      <c r="C70" s="78">
        <v>408000</v>
      </c>
      <c r="D70" s="78">
        <v>413000</v>
      </c>
      <c r="E70" s="78">
        <f t="shared" si="2"/>
        <v>5000</v>
      </c>
      <c r="F70" s="90">
        <f t="shared" si="3"/>
        <v>0.012254901960784314</v>
      </c>
    </row>
    <row r="71" spans="1:6" ht="91.5">
      <c r="A71" s="98" t="s">
        <v>47</v>
      </c>
      <c r="B71" s="78">
        <v>407267</v>
      </c>
      <c r="C71" s="78">
        <v>511300</v>
      </c>
      <c r="D71" s="78">
        <v>204800</v>
      </c>
      <c r="E71" s="78">
        <f t="shared" si="2"/>
        <v>-306500</v>
      </c>
      <c r="F71" s="90">
        <f t="shared" si="3"/>
        <v>-0.5994523762957168</v>
      </c>
    </row>
    <row r="72" spans="1:6" ht="91.5">
      <c r="A72" s="99" t="s">
        <v>48</v>
      </c>
      <c r="B72" s="85">
        <f>SUM(B69:B71)</f>
        <v>1206461</v>
      </c>
      <c r="C72" s="85">
        <f>SUM(C69:C71)</f>
        <v>1378660.02</v>
      </c>
      <c r="D72" s="85">
        <f>SUM(D69:D71)</f>
        <v>1116120</v>
      </c>
      <c r="E72" s="85">
        <f t="shared" si="2"/>
        <v>-262540.02</v>
      </c>
      <c r="F72" s="95">
        <f t="shared" si="3"/>
        <v>-0.19043130009674178</v>
      </c>
    </row>
    <row r="73" spans="1:6" ht="91.5">
      <c r="A73" s="94" t="s">
        <v>31</v>
      </c>
      <c r="B73" s="85">
        <f>+B59+B63+B68+B72+B64+1</f>
        <v>60714024</v>
      </c>
      <c r="C73" s="85">
        <f>+C59+C63+C68+C72-1+C64</f>
        <v>63511335.510000005</v>
      </c>
      <c r="D73" s="85">
        <f>+D59+D63+D68+D72+D64-4</f>
        <v>67639527</v>
      </c>
      <c r="E73" s="85">
        <f t="shared" si="2"/>
        <v>4128191.4899999946</v>
      </c>
      <c r="F73" s="95">
        <f t="shared" si="3"/>
        <v>0.06499928645572256</v>
      </c>
    </row>
    <row r="74" ht="91.5">
      <c r="A74" s="56" t="s">
        <v>186</v>
      </c>
    </row>
    <row r="75" ht="91.5"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A1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2.66406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155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4149768</v>
      </c>
      <c r="C8" s="74">
        <v>4149768</v>
      </c>
      <c r="D8" s="74">
        <v>4604562</v>
      </c>
      <c r="E8" s="74">
        <f aca="true" t="shared" si="0" ref="E8:E24">D8-C8</f>
        <v>454794</v>
      </c>
      <c r="F8" s="75">
        <f>IF(ISERROR(E8/C8),0,(E8/C8))</f>
        <v>0.10959504242164864</v>
      </c>
    </row>
    <row r="9" spans="1:6" ht="91.5">
      <c r="A9" s="76" t="s">
        <v>60</v>
      </c>
      <c r="B9" s="74">
        <f>SUM(B10:B21)</f>
        <v>185968</v>
      </c>
      <c r="C9" s="74">
        <f>SUM(C10:C21)</f>
        <v>185968</v>
      </c>
      <c r="D9" s="74">
        <v>114851</v>
      </c>
      <c r="E9" s="74">
        <f t="shared" si="0"/>
        <v>-71117</v>
      </c>
      <c r="F9" s="75">
        <f aca="true" t="shared" si="1" ref="F9:F29">IF(ISERROR(E9/C9),0,(E9/C9))</f>
        <v>-0.3824152542372881</v>
      </c>
    </row>
    <row r="10" spans="1:6" ht="91.5">
      <c r="A10" s="77" t="s">
        <v>138</v>
      </c>
      <c r="B10" s="78">
        <v>104423</v>
      </c>
      <c r="C10" s="78">
        <f>81149+23274</f>
        <v>104423</v>
      </c>
      <c r="D10" s="78">
        <v>0</v>
      </c>
      <c r="E10" s="78">
        <f t="shared" si="0"/>
        <v>-104423</v>
      </c>
      <c r="F10" s="79">
        <f t="shared" si="1"/>
        <v>-1</v>
      </c>
    </row>
    <row r="11" spans="1:6" ht="91.5">
      <c r="A11" s="80" t="s">
        <v>62</v>
      </c>
      <c r="B11" s="78">
        <v>81545</v>
      </c>
      <c r="C11" s="78">
        <v>81545</v>
      </c>
      <c r="D11" s="78">
        <v>114851</v>
      </c>
      <c r="E11" s="78">
        <f t="shared" si="0"/>
        <v>33306</v>
      </c>
      <c r="F11" s="79">
        <f t="shared" si="1"/>
        <v>0.40843705929241525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t="shared" si="0"/>
        <v>0</v>
      </c>
      <c r="F14" s="79">
        <f t="shared" si="1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0"/>
        <v>0</v>
      </c>
      <c r="F15" s="79">
        <f t="shared" si="1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0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0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0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0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0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79">
        <f t="shared" si="1"/>
        <v>0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f t="shared" si="0"/>
        <v>0</v>
      </c>
      <c r="F24" s="136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>D25-C25</f>
        <v>0</v>
      </c>
      <c r="F25" s="79">
        <f t="shared" si="1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v>0</v>
      </c>
      <c r="F26" s="75">
        <f t="shared" si="1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>D27-C27</f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>D28-C28</f>
        <v>0</v>
      </c>
      <c r="F28" s="79">
        <f t="shared" si="1"/>
        <v>0</v>
      </c>
    </row>
    <row r="29" spans="1:6" s="50" customFormat="1" ht="90">
      <c r="A29" s="76" t="s">
        <v>14</v>
      </c>
      <c r="B29" s="74">
        <f>B28+B27+B25+B9+B8</f>
        <v>4335736</v>
      </c>
      <c r="C29" s="74">
        <f>C28+C27+C25+C9+C8</f>
        <v>4335736</v>
      </c>
      <c r="D29" s="74">
        <f>D28+D27+D25+D9+D8</f>
        <v>4719413</v>
      </c>
      <c r="E29" s="74">
        <f>D29-C29</f>
        <v>383677</v>
      </c>
      <c r="F29" s="75">
        <f t="shared" si="1"/>
        <v>0.08849178086488661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120</v>
      </c>
      <c r="B31" s="120">
        <v>-419280</v>
      </c>
      <c r="C31" s="120">
        <v>0</v>
      </c>
      <c r="D31" s="120">
        <v>0</v>
      </c>
      <c r="E31" s="120">
        <f>D31-C31</f>
        <v>0</v>
      </c>
      <c r="F31" s="132">
        <f>IF(ISERROR(E31/C31),0,(E31/C31))</f>
        <v>0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f>IF(ISERROR(E33/C33),0,(E33/C33))</f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f>5990170-B29</f>
        <v>1654434</v>
      </c>
      <c r="C35" s="120">
        <v>1481012</v>
      </c>
      <c r="D35" s="120">
        <v>1600000</v>
      </c>
      <c r="E35" s="120">
        <f>D35-C35</f>
        <v>118988</v>
      </c>
      <c r="F35" s="136">
        <f>IF(ISERROR(E35/C35),0,(E35/C35))</f>
        <v>0.08034236049404056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v>0</v>
      </c>
      <c r="C37" s="120">
        <v>0</v>
      </c>
      <c r="D37" s="120">
        <v>0</v>
      </c>
      <c r="E37" s="120">
        <f>D37-C37</f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B37+B35+B33+B29+B31</f>
        <v>5570890</v>
      </c>
      <c r="C39" s="120">
        <f>C37+C35+C33+C29</f>
        <v>5816748</v>
      </c>
      <c r="D39" s="120">
        <f>D37+D35+D33+D29</f>
        <v>6319413</v>
      </c>
      <c r="E39" s="120">
        <f>D39-C39</f>
        <v>502665</v>
      </c>
      <c r="F39" s="136">
        <f>IF(ISERROR(E39/C39),0,(E39/C39))</f>
        <v>0.08641684322580245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v>2734453</v>
      </c>
      <c r="C41" s="138">
        <f>2711298+100000</f>
        <v>2811298</v>
      </c>
      <c r="D41" s="138">
        <v>2989925</v>
      </c>
      <c r="E41" s="138">
        <f aca="true" t="shared" si="2" ref="E41:E48">D41-C41</f>
        <v>178627</v>
      </c>
      <c r="F41" s="139">
        <f aca="true" t="shared" si="3" ref="F41:F54">IF(ISERROR(E41/C41),0,(E41/C41))</f>
        <v>0.06353897736917254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f t="shared" si="2"/>
        <v>0</v>
      </c>
      <c r="F42" s="92">
        <f t="shared" si="3"/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f t="shared" si="2"/>
        <v>0</v>
      </c>
      <c r="F43" s="90">
        <f t="shared" si="3"/>
        <v>0</v>
      </c>
    </row>
    <row r="44" spans="1:6" ht="91.5">
      <c r="A44" s="80" t="s">
        <v>49</v>
      </c>
      <c r="B44" s="78">
        <v>642498</v>
      </c>
      <c r="C44" s="78">
        <f>688571+50002</f>
        <v>738573</v>
      </c>
      <c r="D44" s="78">
        <v>519971</v>
      </c>
      <c r="E44" s="78">
        <f t="shared" si="2"/>
        <v>-218602</v>
      </c>
      <c r="F44" s="90">
        <f t="shared" si="3"/>
        <v>-0.2959788673563751</v>
      </c>
    </row>
    <row r="45" spans="1:6" ht="91.5">
      <c r="A45" s="80" t="s">
        <v>22</v>
      </c>
      <c r="B45" s="78">
        <v>386558</v>
      </c>
      <c r="C45" s="78">
        <f>348687+50000</f>
        <v>398687</v>
      </c>
      <c r="D45" s="78">
        <v>429205</v>
      </c>
      <c r="E45" s="78">
        <f t="shared" si="2"/>
        <v>30518</v>
      </c>
      <c r="F45" s="90">
        <f t="shared" si="3"/>
        <v>0.07654626310865416</v>
      </c>
    </row>
    <row r="46" spans="1:6" ht="91.5">
      <c r="A46" s="80" t="s">
        <v>23</v>
      </c>
      <c r="B46" s="78">
        <f>1004881+1204</f>
        <v>1006085</v>
      </c>
      <c r="C46" s="78">
        <f>1055984-7790+367+50000</f>
        <v>1098561</v>
      </c>
      <c r="D46" s="78">
        <v>1658211</v>
      </c>
      <c r="E46" s="78">
        <f t="shared" si="2"/>
        <v>559650</v>
      </c>
      <c r="F46" s="90">
        <f t="shared" si="3"/>
        <v>0.5094391663275867</v>
      </c>
    </row>
    <row r="47" spans="1:6" ht="91.5">
      <c r="A47" s="80" t="s">
        <v>24</v>
      </c>
      <c r="B47" s="78">
        <v>1459</v>
      </c>
      <c r="C47" s="78">
        <v>7790</v>
      </c>
      <c r="D47" s="78">
        <v>4000</v>
      </c>
      <c r="E47" s="78">
        <f t="shared" si="2"/>
        <v>-3790</v>
      </c>
      <c r="F47" s="90">
        <f t="shared" si="3"/>
        <v>-0.4865211810012837</v>
      </c>
    </row>
    <row r="48" spans="1:6" ht="91.5">
      <c r="A48" s="80" t="s">
        <v>25</v>
      </c>
      <c r="B48" s="78">
        <v>799837</v>
      </c>
      <c r="C48" s="78">
        <f>725707+36132</f>
        <v>761839</v>
      </c>
      <c r="D48" s="78">
        <v>718101</v>
      </c>
      <c r="E48" s="78">
        <f t="shared" si="2"/>
        <v>-43738</v>
      </c>
      <c r="F48" s="90">
        <f t="shared" si="3"/>
        <v>-0.057411080293867864</v>
      </c>
    </row>
    <row r="49" spans="1:6" s="50" customFormat="1" ht="90">
      <c r="A49" s="76" t="s">
        <v>26</v>
      </c>
      <c r="B49" s="74">
        <f>SUM(B41:B48)</f>
        <v>5570890</v>
      </c>
      <c r="C49" s="74">
        <f>SUM(C41:C48)</f>
        <v>5816748</v>
      </c>
      <c r="D49" s="74">
        <f>SUM(D41:D48)</f>
        <v>6319413</v>
      </c>
      <c r="E49" s="74">
        <f>SUM(E41:E48)</f>
        <v>502665</v>
      </c>
      <c r="F49" s="87">
        <f t="shared" si="3"/>
        <v>0.08641684322580245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>D50-C50</f>
        <v>0</v>
      </c>
      <c r="F50" s="90">
        <f t="shared" si="3"/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f>D51-C51</f>
        <v>0</v>
      </c>
      <c r="F51" s="90">
        <f t="shared" si="3"/>
        <v>0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f>D52-C52</f>
        <v>0</v>
      </c>
      <c r="F52" s="90">
        <f t="shared" si="3"/>
        <v>0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f t="shared" si="3"/>
        <v>0</v>
      </c>
    </row>
    <row r="54" spans="1:6" s="50" customFormat="1" ht="90">
      <c r="A54" s="148" t="s">
        <v>31</v>
      </c>
      <c r="B54" s="74">
        <f>B53+B52+B51+B50+B49</f>
        <v>5570890</v>
      </c>
      <c r="C54" s="74">
        <f>C53+C52+C51+C50+C49</f>
        <v>5816748</v>
      </c>
      <c r="D54" s="74">
        <f>D53+D52+D51+D50+D49</f>
        <v>6319413</v>
      </c>
      <c r="E54" s="74">
        <f>D54-C54</f>
        <v>502665</v>
      </c>
      <c r="F54" s="161">
        <f t="shared" si="3"/>
        <v>0.08641684322580245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v>3172239</v>
      </c>
      <c r="C56" s="78">
        <f>3218597+367-7790+80000+80000</f>
        <v>3371174</v>
      </c>
      <c r="D56" s="78">
        <v>3805830</v>
      </c>
      <c r="E56" s="78">
        <f>D56-C56</f>
        <v>434656</v>
      </c>
      <c r="F56" s="92">
        <f aca="true" t="shared" si="4" ref="F56:F73">IF(ISERROR(E56/C56),0,(E56/C56))</f>
        <v>0.12893312537412782</v>
      </c>
    </row>
    <row r="57" spans="1:6" ht="91.5">
      <c r="A57" s="80" t="s">
        <v>34</v>
      </c>
      <c r="B57" s="78">
        <v>84683</v>
      </c>
      <c r="C57" s="78">
        <v>312480</v>
      </c>
      <c r="D57" s="78">
        <v>252200</v>
      </c>
      <c r="E57" s="78">
        <f>D57-C57</f>
        <v>-60280</v>
      </c>
      <c r="F57" s="90">
        <f t="shared" si="4"/>
        <v>-0.1929083461341526</v>
      </c>
    </row>
    <row r="58" spans="1:6" ht="91.5">
      <c r="A58" s="80" t="s">
        <v>35</v>
      </c>
      <c r="B58" s="78">
        <v>1001411</v>
      </c>
      <c r="C58" s="78">
        <f>1077221+20000+20000</f>
        <v>1117221</v>
      </c>
      <c r="D58" s="78">
        <v>1172797</v>
      </c>
      <c r="E58" s="78">
        <f>D58-C58</f>
        <v>55576</v>
      </c>
      <c r="F58" s="90">
        <f t="shared" si="4"/>
        <v>0.04974485800034192</v>
      </c>
    </row>
    <row r="59" spans="1:6" ht="91.5">
      <c r="A59" s="93" t="s">
        <v>36</v>
      </c>
      <c r="B59" s="96">
        <f>SUM(B56:B58)</f>
        <v>4258333</v>
      </c>
      <c r="C59" s="96">
        <f>SUM(C56:C58)</f>
        <v>4800875</v>
      </c>
      <c r="D59" s="96">
        <f>SUM(D56:D58)</f>
        <v>5230827</v>
      </c>
      <c r="E59" s="96">
        <f>SUM(E56:E58)</f>
        <v>429952</v>
      </c>
      <c r="F59" s="97">
        <f t="shared" si="4"/>
        <v>0.08955700783711303</v>
      </c>
    </row>
    <row r="60" spans="1:6" ht="91.5">
      <c r="A60" s="80" t="s">
        <v>37</v>
      </c>
      <c r="B60" s="78">
        <v>31181</v>
      </c>
      <c r="C60" s="78">
        <v>31275</v>
      </c>
      <c r="D60" s="78">
        <v>52650</v>
      </c>
      <c r="E60" s="78">
        <f>D60-C60</f>
        <v>21375</v>
      </c>
      <c r="F60" s="90">
        <f t="shared" si="4"/>
        <v>0.6834532374100719</v>
      </c>
    </row>
    <row r="61" spans="1:6" ht="91.5">
      <c r="A61" s="80" t="s">
        <v>38</v>
      </c>
      <c r="B61" s="78">
        <v>447995</v>
      </c>
      <c r="C61" s="78">
        <f>361400+36132</f>
        <v>397532</v>
      </c>
      <c r="D61" s="78">
        <v>557250</v>
      </c>
      <c r="E61" s="78">
        <f>D61-C61</f>
        <v>159718</v>
      </c>
      <c r="F61" s="90">
        <f t="shared" si="4"/>
        <v>0.40177394524214405</v>
      </c>
    </row>
    <row r="62" spans="1:6" ht="91.5">
      <c r="A62" s="80" t="s">
        <v>39</v>
      </c>
      <c r="B62" s="78">
        <v>213285</v>
      </c>
      <c r="C62" s="78">
        <v>164200</v>
      </c>
      <c r="D62" s="78">
        <v>176550</v>
      </c>
      <c r="E62" s="78">
        <f>D62-C62</f>
        <v>12350</v>
      </c>
      <c r="F62" s="90">
        <f t="shared" si="4"/>
        <v>0.07521315468940316</v>
      </c>
    </row>
    <row r="63" spans="1:6" ht="91.5">
      <c r="A63" s="76" t="s">
        <v>40</v>
      </c>
      <c r="B63" s="83">
        <f>SUM(B60:B62)</f>
        <v>692461</v>
      </c>
      <c r="C63" s="83">
        <f>SUM(C60:C62)</f>
        <v>593007</v>
      </c>
      <c r="D63" s="83">
        <f>SUM(D60:D62)</f>
        <v>786450</v>
      </c>
      <c r="E63" s="83">
        <f>SUM(E60:E62)</f>
        <v>193443</v>
      </c>
      <c r="F63" s="87">
        <f t="shared" si="4"/>
        <v>0.32620694190793703</v>
      </c>
    </row>
    <row r="64" spans="1:6" ht="91.5">
      <c r="A64" s="80" t="s">
        <v>41</v>
      </c>
      <c r="B64" s="78">
        <v>10903</v>
      </c>
      <c r="C64" s="78">
        <v>20000</v>
      </c>
      <c r="D64" s="78">
        <v>12000</v>
      </c>
      <c r="E64" s="78">
        <f>D64-C64</f>
        <v>-8000</v>
      </c>
      <c r="F64" s="90">
        <f t="shared" si="4"/>
        <v>-0.4</v>
      </c>
    </row>
    <row r="65" spans="1:6" ht="91.5">
      <c r="A65" s="80" t="s">
        <v>42</v>
      </c>
      <c r="B65" s="78">
        <v>8132</v>
      </c>
      <c r="C65" s="78">
        <f>3100+7790</f>
        <v>10890</v>
      </c>
      <c r="D65" s="78">
        <v>193710</v>
      </c>
      <c r="E65" s="78">
        <f>D65-C65</f>
        <v>182820</v>
      </c>
      <c r="F65" s="90">
        <f t="shared" si="4"/>
        <v>16.78787878787879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>D66-C66</f>
        <v>0</v>
      </c>
      <c r="F66" s="90">
        <f t="shared" si="4"/>
        <v>0</v>
      </c>
    </row>
    <row r="67" spans="1:6" ht="91.5">
      <c r="A67" s="80" t="s">
        <v>44</v>
      </c>
      <c r="B67" s="78">
        <v>0</v>
      </c>
      <c r="C67" s="78">
        <v>105000</v>
      </c>
      <c r="D67" s="78">
        <v>0</v>
      </c>
      <c r="E67" s="78">
        <f>D67-C67</f>
        <v>-105000</v>
      </c>
      <c r="F67" s="90">
        <f t="shared" si="4"/>
        <v>-1</v>
      </c>
    </row>
    <row r="68" spans="1:6" ht="91.5">
      <c r="A68" s="76" t="s">
        <v>45</v>
      </c>
      <c r="B68" s="85">
        <f>SUM(B64:B67)</f>
        <v>19035</v>
      </c>
      <c r="C68" s="85">
        <f>SUM(C64:C67)</f>
        <v>135890</v>
      </c>
      <c r="D68" s="85">
        <f>SUM(D64:D67)</f>
        <v>205710</v>
      </c>
      <c r="E68" s="85">
        <f>SUM(E64:E67)</f>
        <v>69820</v>
      </c>
      <c r="F68" s="87">
        <f t="shared" si="4"/>
        <v>0.5137979247921113</v>
      </c>
    </row>
    <row r="69" spans="1:6" ht="91.5">
      <c r="A69" s="80" t="s">
        <v>57</v>
      </c>
      <c r="B69" s="78">
        <f>601061-65103</f>
        <v>535958</v>
      </c>
      <c r="C69" s="78">
        <v>213700</v>
      </c>
      <c r="D69" s="78">
        <v>67500</v>
      </c>
      <c r="E69" s="78">
        <f>D69-C69</f>
        <v>-146200</v>
      </c>
      <c r="F69" s="90">
        <f t="shared" si="4"/>
        <v>-0.6841366401497426</v>
      </c>
    </row>
    <row r="70" spans="1:6" ht="91.5">
      <c r="A70" s="80" t="s">
        <v>46</v>
      </c>
      <c r="B70" s="78">
        <v>65103</v>
      </c>
      <c r="C70" s="78">
        <f>23274+50002</f>
        <v>73276</v>
      </c>
      <c r="D70" s="78">
        <v>28926</v>
      </c>
      <c r="E70" s="78">
        <f>D70-C70</f>
        <v>-44350</v>
      </c>
      <c r="F70" s="90">
        <f t="shared" si="4"/>
        <v>-0.6052459195370926</v>
      </c>
    </row>
    <row r="71" spans="1:6" ht="91.5">
      <c r="A71" s="98" t="s">
        <v>47</v>
      </c>
      <c r="B71" s="78">
        <v>0</v>
      </c>
      <c r="C71" s="78">
        <v>0</v>
      </c>
      <c r="D71" s="78">
        <v>0</v>
      </c>
      <c r="E71" s="78">
        <f>D71-C71</f>
        <v>0</v>
      </c>
      <c r="F71" s="90">
        <f t="shared" si="4"/>
        <v>0</v>
      </c>
    </row>
    <row r="72" spans="1:6" ht="91.5">
      <c r="A72" s="99" t="s">
        <v>48</v>
      </c>
      <c r="B72" s="85">
        <f>SUM(B69:B71)</f>
        <v>601061</v>
      </c>
      <c r="C72" s="85">
        <f>SUM(C69:C71)</f>
        <v>286976</v>
      </c>
      <c r="D72" s="85">
        <f>SUM(D69:D71)</f>
        <v>96426</v>
      </c>
      <c r="E72" s="85">
        <f>SUM(E69:E71)</f>
        <v>-190550</v>
      </c>
      <c r="F72" s="95">
        <f t="shared" si="4"/>
        <v>-0.6639928077609277</v>
      </c>
    </row>
    <row r="73" spans="1:6" ht="91.5">
      <c r="A73" s="94" t="s">
        <v>31</v>
      </c>
      <c r="B73" s="85">
        <f>B72+B68+B63+B59</f>
        <v>5570890</v>
      </c>
      <c r="C73" s="85">
        <f>C72+C68+C63+C59</f>
        <v>5816748</v>
      </c>
      <c r="D73" s="85">
        <f>D72+D68+D63+D59</f>
        <v>6319413</v>
      </c>
      <c r="E73" s="85">
        <f>D73-C73</f>
        <v>502665</v>
      </c>
      <c r="F73" s="95">
        <f t="shared" si="4"/>
        <v>0.08641684322580245</v>
      </c>
    </row>
    <row r="74" ht="91.5">
      <c r="A74" s="56" t="s">
        <v>186</v>
      </c>
    </row>
    <row r="75" ht="91.5"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30" zoomScaleNormal="30" zoomScalePageLayoutView="0" workbookViewId="0" topLeftCell="A13">
      <selection activeCell="A78" sqref="A78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2.66406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157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6767384</v>
      </c>
      <c r="C8" s="74">
        <v>6767384</v>
      </c>
      <c r="D8" s="74">
        <v>7039619</v>
      </c>
      <c r="E8" s="74">
        <f aca="true" t="shared" si="0" ref="E8:E13">D8-C8</f>
        <v>272235</v>
      </c>
      <c r="F8" s="75">
        <f>IF(ISERROR(E8/C8),0,(E8/C8))</f>
        <v>0.04022750888674265</v>
      </c>
    </row>
    <row r="9" spans="1:6" ht="91.5">
      <c r="A9" s="76" t="s">
        <v>60</v>
      </c>
      <c r="B9" s="74">
        <f>SUM(B10:B23)</f>
        <v>401794</v>
      </c>
      <c r="C9" s="74">
        <f>SUM(C10:C23)</f>
        <v>596293</v>
      </c>
      <c r="D9" s="74">
        <f>SUM(D10:D23)</f>
        <v>782549</v>
      </c>
      <c r="E9" s="74">
        <f t="shared" si="0"/>
        <v>186256</v>
      </c>
      <c r="F9" s="75">
        <f aca="true" t="shared" si="1" ref="F9:F71">IF(ISERROR(E9/C9),0,(E9/C9))</f>
        <v>0.31235650929995823</v>
      </c>
    </row>
    <row r="10" spans="1:6" ht="91.5">
      <c r="A10" s="77" t="s">
        <v>138</v>
      </c>
      <c r="B10" s="78">
        <v>35539</v>
      </c>
      <c r="C10" s="78">
        <v>35539</v>
      </c>
      <c r="D10" s="78">
        <v>335626</v>
      </c>
      <c r="E10" s="78">
        <f t="shared" si="0"/>
        <v>300087</v>
      </c>
      <c r="F10" s="79">
        <f t="shared" si="1"/>
        <v>8.443878555952615</v>
      </c>
    </row>
    <row r="11" spans="1:6" ht="91.5">
      <c r="A11" s="80" t="s">
        <v>62</v>
      </c>
      <c r="B11" s="78">
        <v>249421</v>
      </c>
      <c r="C11" s="78">
        <v>249421</v>
      </c>
      <c r="D11" s="78">
        <v>263176</v>
      </c>
      <c r="E11" s="78">
        <f t="shared" si="0"/>
        <v>13755</v>
      </c>
      <c r="F11" s="79">
        <f t="shared" si="1"/>
        <v>0.055147722124440204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116834</v>
      </c>
      <c r="C13" s="78">
        <v>116834</v>
      </c>
      <c r="D13" s="78">
        <v>183747</v>
      </c>
      <c r="E13" s="78">
        <f t="shared" si="0"/>
        <v>66913</v>
      </c>
      <c r="F13" s="79">
        <f t="shared" si="1"/>
        <v>0.5727185579540203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f aca="true" t="shared" si="2" ref="E14:E23">D14-C14</f>
        <v>0</v>
      </c>
      <c r="F14" s="79">
        <f t="shared" si="1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2"/>
        <v>0</v>
      </c>
      <c r="F15" s="79">
        <f t="shared" si="1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2"/>
        <v>0</v>
      </c>
      <c r="F16" s="79">
        <f t="shared" si="1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2"/>
        <v>0</v>
      </c>
      <c r="F17" s="79">
        <f t="shared" si="1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2"/>
        <v>0</v>
      </c>
      <c r="F18" s="79">
        <f t="shared" si="1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f t="shared" si="2"/>
        <v>0</v>
      </c>
      <c r="F19" s="79">
        <f t="shared" si="1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f>D20-C20</f>
        <v>0</v>
      </c>
      <c r="F20" s="79">
        <f>IF(ISERROR(E20/C20),0,(E20/C20))</f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f t="shared" si="2"/>
        <v>0</v>
      </c>
      <c r="F21" s="79">
        <f t="shared" si="1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v>0</v>
      </c>
      <c r="F22" s="79">
        <f t="shared" si="1"/>
        <v>0</v>
      </c>
    </row>
    <row r="23" spans="1:6" ht="91.5">
      <c r="A23" s="130" t="s">
        <v>156</v>
      </c>
      <c r="B23" s="129">
        <v>0</v>
      </c>
      <c r="C23" s="129">
        <v>194499</v>
      </c>
      <c r="D23" s="129">
        <v>0</v>
      </c>
      <c r="E23" s="129">
        <f t="shared" si="2"/>
        <v>-194499</v>
      </c>
      <c r="F23" s="79">
        <f t="shared" si="1"/>
        <v>-1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v>0</v>
      </c>
      <c r="F24" s="136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v>0</v>
      </c>
      <c r="F25" s="79">
        <f t="shared" si="1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v>0</v>
      </c>
      <c r="F26" s="75">
        <f t="shared" si="1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v>0</v>
      </c>
      <c r="F28" s="79">
        <f t="shared" si="1"/>
        <v>0</v>
      </c>
    </row>
    <row r="29" spans="1:6" s="50" customFormat="1" ht="90">
      <c r="A29" s="76" t="s">
        <v>14</v>
      </c>
      <c r="B29" s="74">
        <f>B28+B27+B25+B9+B8</f>
        <v>7169178</v>
      </c>
      <c r="C29" s="74">
        <f>C28+C27+C25+C9+C8</f>
        <v>7363677</v>
      </c>
      <c r="D29" s="74">
        <f>D28+D27+D25+D9+D8</f>
        <v>7822168</v>
      </c>
      <c r="E29" s="74">
        <f>D29-C29</f>
        <v>458491</v>
      </c>
      <c r="F29" s="75">
        <f t="shared" si="1"/>
        <v>0.06226386627224415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78</v>
      </c>
      <c r="B31" s="120">
        <f>-1133792+320090</f>
        <v>-813702</v>
      </c>
      <c r="C31" s="120">
        <v>0</v>
      </c>
      <c r="D31" s="120">
        <v>0</v>
      </c>
      <c r="E31" s="120">
        <f>D31-C31</f>
        <v>0</v>
      </c>
      <c r="F31" s="132">
        <f t="shared" si="1"/>
        <v>0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f>D33-C33</f>
        <v>0</v>
      </c>
      <c r="F33" s="136">
        <f t="shared" si="1"/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f>2203398+50416+319803+16696-331</f>
        <v>2589982</v>
      </c>
      <c r="C35" s="120">
        <v>2990980</v>
      </c>
      <c r="D35" s="120">
        <v>2990980</v>
      </c>
      <c r="E35" s="120">
        <f>D35-C35</f>
        <v>0</v>
      </c>
      <c r="F35" s="136">
        <f t="shared" si="1"/>
        <v>0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/>
      <c r="C37" s="120"/>
      <c r="D37" s="120"/>
      <c r="E37" s="120">
        <f>D37-C37</f>
        <v>0</v>
      </c>
      <c r="F37" s="136">
        <f t="shared" si="1"/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B37+B35+B33+B31+B29</f>
        <v>8945458</v>
      </c>
      <c r="C39" s="120">
        <f>C37+C35+C33+C29</f>
        <v>10354657</v>
      </c>
      <c r="D39" s="120">
        <f>D37+D35+D33+D29</f>
        <v>10813148</v>
      </c>
      <c r="E39" s="120">
        <f>D39-C39</f>
        <v>458491</v>
      </c>
      <c r="F39" s="136">
        <f t="shared" si="1"/>
        <v>0.04427872405623866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f>'[2]BOR4'!B24</f>
        <v>4786243.67</v>
      </c>
      <c r="C41" s="138">
        <f>'[2]BOR4'!C24</f>
        <v>5668892.37</v>
      </c>
      <c r="D41" s="138">
        <f>'[2]BOR4'!D24</f>
        <v>5471636.57</v>
      </c>
      <c r="E41" s="138">
        <f>'[2]BOR4'!E24</f>
        <v>-197255.7999999998</v>
      </c>
      <c r="F41" s="139">
        <f t="shared" si="1"/>
        <v>-0.03479618012222021</v>
      </c>
    </row>
    <row r="42" spans="1:6" ht="91.5">
      <c r="A42" s="77" t="s">
        <v>20</v>
      </c>
      <c r="B42" s="78">
        <f>'[2]BOR4'!B45:D45</f>
        <v>0</v>
      </c>
      <c r="C42" s="78">
        <f>'[2]BOR4'!C45:E45</f>
        <v>0</v>
      </c>
      <c r="D42" s="78">
        <f>'[2]BOR4'!D45:F45</f>
        <v>0</v>
      </c>
      <c r="E42" s="78">
        <f>'[2]BOR4'!E45:G45</f>
        <v>0</v>
      </c>
      <c r="F42" s="92">
        <f t="shared" si="1"/>
        <v>0</v>
      </c>
    </row>
    <row r="43" spans="1:6" ht="91.5">
      <c r="A43" s="80" t="s">
        <v>21</v>
      </c>
      <c r="B43" s="78">
        <f>'[2]BOR4'!B69</f>
        <v>0</v>
      </c>
      <c r="C43" s="78">
        <f>'[2]BOR4'!C69</f>
        <v>0</v>
      </c>
      <c r="D43" s="78">
        <f>'[2]BOR4'!D69</f>
        <v>0</v>
      </c>
      <c r="E43" s="78">
        <f>'[2]BOR4'!E69</f>
        <v>0</v>
      </c>
      <c r="F43" s="90">
        <f t="shared" si="1"/>
        <v>0</v>
      </c>
    </row>
    <row r="44" spans="1:6" ht="91.5">
      <c r="A44" s="80" t="s">
        <v>49</v>
      </c>
      <c r="B44" s="78">
        <f>'[2]BOR4'!B90</f>
        <v>344060.92</v>
      </c>
      <c r="C44" s="78">
        <f>'[2]BOR4'!C90</f>
        <v>369499</v>
      </c>
      <c r="D44" s="78">
        <f>'[2]BOR4'!D90</f>
        <v>415032.75</v>
      </c>
      <c r="E44" s="78">
        <f>'[2]BOR4'!E90</f>
        <v>45533.75</v>
      </c>
      <c r="F44" s="90">
        <f t="shared" si="1"/>
        <v>0.12323105069296533</v>
      </c>
    </row>
    <row r="45" spans="1:6" ht="91.5">
      <c r="A45" s="80" t="s">
        <v>22</v>
      </c>
      <c r="B45" s="78">
        <f>'[2]BOR4'!B114</f>
        <v>672364.5499999999</v>
      </c>
      <c r="C45" s="78">
        <f>'[2]BOR4'!C114</f>
        <v>700471.9199999999</v>
      </c>
      <c r="D45" s="78">
        <f>'[2]BOR4'!D114</f>
        <v>759403.5</v>
      </c>
      <c r="E45" s="78">
        <f>'[2]BOR4'!E114</f>
        <v>58931.580000000075</v>
      </c>
      <c r="F45" s="90">
        <f t="shared" si="1"/>
        <v>0.0841312525418579</v>
      </c>
    </row>
    <row r="46" spans="1:6" ht="91.5">
      <c r="A46" s="80" t="s">
        <v>23</v>
      </c>
      <c r="B46" s="78">
        <f>'[2]BOR4'!B135</f>
        <v>2027945.85</v>
      </c>
      <c r="C46" s="78">
        <f>'[2]BOR4'!C135</f>
        <v>2312306.81</v>
      </c>
      <c r="D46" s="78">
        <f>'[2]BOR4'!D135</f>
        <v>2509632.25</v>
      </c>
      <c r="E46" s="78">
        <f>'[2]BOR4'!E135</f>
        <v>197325.43999999994</v>
      </c>
      <c r="F46" s="90">
        <f t="shared" si="1"/>
        <v>0.08533704919547416</v>
      </c>
    </row>
    <row r="47" spans="1:6" ht="91.5">
      <c r="A47" s="80" t="s">
        <v>24</v>
      </c>
      <c r="B47" s="78">
        <f>'[2]BOR4'!B159</f>
        <v>320090</v>
      </c>
      <c r="C47" s="78">
        <f>'[2]BOR4'!C159</f>
        <v>351294</v>
      </c>
      <c r="D47" s="78">
        <f>'[2]BOR4'!D159</f>
        <v>664532</v>
      </c>
      <c r="E47" s="78">
        <f>'[2]BOR4'!E159</f>
        <v>313238</v>
      </c>
      <c r="F47" s="90">
        <f t="shared" si="1"/>
        <v>0.8916690862923933</v>
      </c>
    </row>
    <row r="48" spans="1:6" ht="91.5">
      <c r="A48" s="80" t="s">
        <v>25</v>
      </c>
      <c r="B48" s="78">
        <f>'[2]BOR4'!B180</f>
        <v>639334.17</v>
      </c>
      <c r="C48" s="78">
        <f>'[2]BOR4'!C180</f>
        <v>796773.52</v>
      </c>
      <c r="D48" s="78">
        <f>'[2]BOR4'!D180</f>
        <v>738612.02</v>
      </c>
      <c r="E48" s="78">
        <f>'[2]BOR4'!E180</f>
        <v>-58161.5</v>
      </c>
      <c r="F48" s="90">
        <f t="shared" si="1"/>
        <v>-0.07299627628187241</v>
      </c>
    </row>
    <row r="49" spans="1:6" s="50" customFormat="1" ht="90">
      <c r="A49" s="76" t="s">
        <v>26</v>
      </c>
      <c r="B49" s="74">
        <f>SUM(B41:B48)</f>
        <v>8790039.16</v>
      </c>
      <c r="C49" s="74">
        <f>SUM(C41:C48)</f>
        <v>10199237.62</v>
      </c>
      <c r="D49" s="74">
        <f>SUM(D41:D48)</f>
        <v>10558849.09</v>
      </c>
      <c r="E49" s="74">
        <f>D49-C49</f>
        <v>359611.47000000067</v>
      </c>
      <c r="F49" s="87">
        <f t="shared" si="1"/>
        <v>0.03525866181358766</v>
      </c>
    </row>
    <row r="50" spans="1:6" ht="91.5">
      <c r="A50" s="140" t="s">
        <v>27</v>
      </c>
      <c r="B50" s="129">
        <f>'[2]BOR4'!B225</f>
        <v>0</v>
      </c>
      <c r="C50" s="129">
        <f>'[2]BOR4'!C225</f>
        <v>0</v>
      </c>
      <c r="D50" s="129">
        <f>'[2]BOR4'!D225</f>
        <v>0</v>
      </c>
      <c r="E50" s="129">
        <f>'[2]BOR4'!E225</f>
        <v>0</v>
      </c>
      <c r="F50" s="90">
        <f t="shared" si="1"/>
        <v>0</v>
      </c>
    </row>
    <row r="51" spans="1:6" ht="91.5">
      <c r="A51" s="80" t="s">
        <v>28</v>
      </c>
      <c r="B51" s="78">
        <f>'[2]BOR4'!B249</f>
        <v>155419</v>
      </c>
      <c r="C51" s="78">
        <f>'[2]BOR4'!C249</f>
        <v>155419</v>
      </c>
      <c r="D51" s="78">
        <f>'[2]BOR4'!D249</f>
        <v>254299</v>
      </c>
      <c r="E51" s="78">
        <f>'[2]BOR4'!E249</f>
        <v>98880</v>
      </c>
      <c r="F51" s="90">
        <f t="shared" si="1"/>
        <v>0.6362156493092865</v>
      </c>
    </row>
    <row r="52" spans="1:6" ht="91.5">
      <c r="A52" s="80" t="s">
        <v>29</v>
      </c>
      <c r="B52" s="78">
        <f>'[2]BOR4'!B270</f>
        <v>0</v>
      </c>
      <c r="C52" s="78">
        <f>'[2]BOR4'!C270</f>
        <v>0</v>
      </c>
      <c r="D52" s="78">
        <f>'[2]BOR4'!D270</f>
        <v>0</v>
      </c>
      <c r="E52" s="78">
        <f>'[2]BOR4'!E270</f>
        <v>0</v>
      </c>
      <c r="F52" s="90">
        <f t="shared" si="1"/>
        <v>0</v>
      </c>
    </row>
    <row r="53" spans="1:6" ht="91.5">
      <c r="A53" s="80" t="s">
        <v>30</v>
      </c>
      <c r="B53" s="78">
        <f>'[2]BOR4'!B294</f>
        <v>0</v>
      </c>
      <c r="C53" s="78">
        <f>'[2]BOR4'!C294</f>
        <v>0</v>
      </c>
      <c r="D53" s="78">
        <f>'[2]BOR4'!D294</f>
        <v>0</v>
      </c>
      <c r="E53" s="78">
        <f>'[2]BOR4'!E294</f>
        <v>0</v>
      </c>
      <c r="F53" s="90">
        <f t="shared" si="1"/>
        <v>0</v>
      </c>
    </row>
    <row r="54" spans="1:6" s="50" customFormat="1" ht="90">
      <c r="A54" s="148" t="s">
        <v>31</v>
      </c>
      <c r="B54" s="74">
        <f>B53+B52+B51+B50+B49</f>
        <v>8945458.16</v>
      </c>
      <c r="C54" s="74">
        <f>C53+C52+C51+C50+C49</f>
        <v>10354656.62</v>
      </c>
      <c r="D54" s="74">
        <f>D53+D52+D51+D50+D49</f>
        <v>10813148.09</v>
      </c>
      <c r="E54" s="74">
        <f>D54-C54</f>
        <v>458491.47000000067</v>
      </c>
      <c r="F54" s="161">
        <f t="shared" si="1"/>
        <v>0.0442787710714062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f>'[2]BOR4'!B298</f>
        <v>5380950.720000001</v>
      </c>
      <c r="C56" s="78">
        <f>'[2]BOR4'!C298</f>
        <v>5956541.24</v>
      </c>
      <c r="D56" s="78">
        <f>'[2]BOR4'!D298</f>
        <v>6197978</v>
      </c>
      <c r="E56" s="78">
        <f aca="true" t="shared" si="3" ref="E56:E73">D56-C56</f>
        <v>241436.75999999978</v>
      </c>
      <c r="F56" s="92">
        <f t="shared" si="1"/>
        <v>0.040533045986264296</v>
      </c>
    </row>
    <row r="57" spans="1:6" ht="91.5">
      <c r="A57" s="80" t="s">
        <v>34</v>
      </c>
      <c r="B57" s="78">
        <f>'[2]BOR4'!B299</f>
        <v>112384.19</v>
      </c>
      <c r="C57" s="78">
        <f>'[2]BOR4'!C299</f>
        <v>112384</v>
      </c>
      <c r="D57" s="78">
        <f>'[2]BOR4'!D299</f>
        <v>0</v>
      </c>
      <c r="E57" s="78">
        <f t="shared" si="3"/>
        <v>-112384</v>
      </c>
      <c r="F57" s="90">
        <f t="shared" si="1"/>
        <v>-1</v>
      </c>
    </row>
    <row r="58" spans="1:6" ht="91.5">
      <c r="A58" s="80" t="s">
        <v>35</v>
      </c>
      <c r="B58" s="78">
        <f>'[2]BOR4'!B300</f>
        <v>1611553.0699999998</v>
      </c>
      <c r="C58" s="78">
        <f>'[2]BOR4'!C300</f>
        <v>1991222.29</v>
      </c>
      <c r="D58" s="78">
        <f>'[2]BOR4'!D300</f>
        <v>1549494.25</v>
      </c>
      <c r="E58" s="78">
        <f t="shared" si="3"/>
        <v>-441728.04000000004</v>
      </c>
      <c r="F58" s="90">
        <f t="shared" si="1"/>
        <v>-0.22183763320568295</v>
      </c>
    </row>
    <row r="59" spans="1:6" ht="91.5">
      <c r="A59" s="93" t="s">
        <v>36</v>
      </c>
      <c r="B59" s="96">
        <f>SUM(B56:B58)</f>
        <v>7104887.98</v>
      </c>
      <c r="C59" s="96">
        <f>SUM(C56:C58)</f>
        <v>8060147.53</v>
      </c>
      <c r="D59" s="96">
        <f>SUM(D56:D58)</f>
        <v>7747472.25</v>
      </c>
      <c r="E59" s="96">
        <f t="shared" si="3"/>
        <v>-312675.28000000026</v>
      </c>
      <c r="F59" s="97">
        <f t="shared" si="1"/>
        <v>-0.03879274899574949</v>
      </c>
    </row>
    <row r="60" spans="1:6" ht="91.5">
      <c r="A60" s="80" t="s">
        <v>37</v>
      </c>
      <c r="B60" s="78">
        <f>'[2]BOR4'!B302</f>
        <v>73496.23</v>
      </c>
      <c r="C60" s="78">
        <f>'[2]BOR4'!C302</f>
        <v>73496</v>
      </c>
      <c r="D60" s="78">
        <f>'[2]BOR4'!D302</f>
        <v>72521</v>
      </c>
      <c r="E60" s="78">
        <f t="shared" si="3"/>
        <v>-975</v>
      </c>
      <c r="F60" s="90">
        <f t="shared" si="1"/>
        <v>-0.013266028083160988</v>
      </c>
    </row>
    <row r="61" spans="1:6" ht="91.5">
      <c r="A61" s="80" t="s">
        <v>38</v>
      </c>
      <c r="B61" s="78">
        <f>'[2]BOR4'!B303</f>
        <v>538900.31</v>
      </c>
      <c r="C61" s="78">
        <f>'[2]BOR4'!C303</f>
        <v>538898.34</v>
      </c>
      <c r="D61" s="78">
        <f>'[2]BOR4'!D303</f>
        <v>695481.34</v>
      </c>
      <c r="E61" s="78">
        <f t="shared" si="3"/>
        <v>156583</v>
      </c>
      <c r="F61" s="90">
        <f t="shared" si="1"/>
        <v>0.2905612958466341</v>
      </c>
    </row>
    <row r="62" spans="1:6" ht="91.5">
      <c r="A62" s="80" t="s">
        <v>39</v>
      </c>
      <c r="B62" s="78">
        <f>'[2]BOR4'!B304</f>
        <v>407693.47</v>
      </c>
      <c r="C62" s="78">
        <f>'[2]BOR4'!C304</f>
        <v>830430.23</v>
      </c>
      <c r="D62" s="78">
        <f>'[2]BOR4'!D304</f>
        <v>1125118.23</v>
      </c>
      <c r="E62" s="78">
        <f t="shared" si="3"/>
        <v>294688</v>
      </c>
      <c r="F62" s="90">
        <f t="shared" si="1"/>
        <v>0.35486184071116966</v>
      </c>
    </row>
    <row r="63" spans="1:6" ht="91.5">
      <c r="A63" s="76" t="s">
        <v>40</v>
      </c>
      <c r="B63" s="83">
        <f>SUM(B60:B62)</f>
        <v>1020090.01</v>
      </c>
      <c r="C63" s="83">
        <f>SUM(C60:C62)</f>
        <v>1442824.5699999998</v>
      </c>
      <c r="D63" s="83">
        <f>SUM(D60:D62)</f>
        <v>1893120.5699999998</v>
      </c>
      <c r="E63" s="83">
        <f t="shared" si="3"/>
        <v>450296</v>
      </c>
      <c r="F63" s="87">
        <f t="shared" si="1"/>
        <v>0.31209338221901783</v>
      </c>
    </row>
    <row r="64" spans="1:6" ht="91.5">
      <c r="A64" s="80" t="s">
        <v>41</v>
      </c>
      <c r="B64" s="78">
        <f>'[2]BOR4'!B306</f>
        <v>134287.91999999998</v>
      </c>
      <c r="C64" s="78">
        <f>'[2]BOR4'!C306</f>
        <v>134288.27</v>
      </c>
      <c r="D64" s="78">
        <f>'[2]BOR4'!D306</f>
        <v>134288.27</v>
      </c>
      <c r="E64" s="78">
        <f t="shared" si="3"/>
        <v>0</v>
      </c>
      <c r="F64" s="90">
        <f t="shared" si="1"/>
        <v>0</v>
      </c>
    </row>
    <row r="65" spans="1:6" ht="91.5">
      <c r="A65" s="80" t="s">
        <v>42</v>
      </c>
      <c r="B65" s="78">
        <f>'[2]BOR4'!B307</f>
        <v>480086.3</v>
      </c>
      <c r="C65" s="78">
        <f>'[2]BOR4'!C307</f>
        <v>511290.3</v>
      </c>
      <c r="D65" s="78">
        <f>'[2]BOR4'!D307</f>
        <v>918831</v>
      </c>
      <c r="E65" s="78">
        <f t="shared" si="3"/>
        <v>407540.7</v>
      </c>
      <c r="F65" s="90">
        <f t="shared" si="1"/>
        <v>0.7970827923001864</v>
      </c>
    </row>
    <row r="66" spans="1:6" ht="91.5">
      <c r="A66" s="80" t="s">
        <v>43</v>
      </c>
      <c r="B66" s="78">
        <f>'[2]BOR4'!B308</f>
        <v>0</v>
      </c>
      <c r="C66" s="78">
        <f>'[2]BOR4'!C308</f>
        <v>0</v>
      </c>
      <c r="D66" s="78">
        <f>'[2]BOR4'!D308</f>
        <v>0</v>
      </c>
      <c r="E66" s="78">
        <f t="shared" si="3"/>
        <v>0</v>
      </c>
      <c r="F66" s="90">
        <f t="shared" si="1"/>
        <v>0</v>
      </c>
    </row>
    <row r="67" spans="1:6" ht="91.5">
      <c r="A67" s="80" t="s">
        <v>44</v>
      </c>
      <c r="B67" s="78">
        <f>'[2]BOR4'!B309</f>
        <v>107529</v>
      </c>
      <c r="C67" s="78">
        <f>'[2]BOR4'!C309</f>
        <v>107529</v>
      </c>
      <c r="D67" s="78">
        <f>'[2]BOR4'!D309</f>
        <v>119436</v>
      </c>
      <c r="E67" s="78">
        <f t="shared" si="3"/>
        <v>11907</v>
      </c>
      <c r="F67" s="90">
        <f t="shared" si="1"/>
        <v>0.11073291856150434</v>
      </c>
    </row>
    <row r="68" spans="1:6" ht="91.5">
      <c r="A68" s="76" t="s">
        <v>45</v>
      </c>
      <c r="B68" s="85">
        <f>SUM(B64:B67)</f>
        <v>721903.22</v>
      </c>
      <c r="C68" s="85">
        <f>SUM(C64:C67)</f>
        <v>753107.57</v>
      </c>
      <c r="D68" s="85">
        <f>SUM(D64:D67)</f>
        <v>1172555.27</v>
      </c>
      <c r="E68" s="85">
        <f t="shared" si="3"/>
        <v>419447.70000000007</v>
      </c>
      <c r="F68" s="87">
        <f t="shared" si="1"/>
        <v>0.5569558940962446</v>
      </c>
    </row>
    <row r="69" spans="1:6" ht="91.5">
      <c r="A69" s="80" t="s">
        <v>57</v>
      </c>
      <c r="B69" s="78">
        <f>'[2]BOR4'!B311</f>
        <v>98576.95000000001</v>
      </c>
      <c r="C69" s="78">
        <f>'[2]BOR4'!C311</f>
        <v>98576.95000000001</v>
      </c>
      <c r="D69" s="78">
        <f>'[2]BOR4'!D311</f>
        <v>0</v>
      </c>
      <c r="E69" s="78">
        <f t="shared" si="3"/>
        <v>-98576.95000000001</v>
      </c>
      <c r="F69" s="90">
        <f t="shared" si="1"/>
        <v>-1</v>
      </c>
    </row>
    <row r="70" spans="1:6" ht="91.5">
      <c r="A70" s="80" t="s">
        <v>46</v>
      </c>
      <c r="B70" s="78">
        <f>'[2]BOR4'!B312</f>
        <v>0</v>
      </c>
      <c r="C70" s="78">
        <f>'[2]BOR4'!C312</f>
        <v>0</v>
      </c>
      <c r="D70" s="78">
        <f>'[2]BOR4'!D312</f>
        <v>0</v>
      </c>
      <c r="E70" s="78">
        <f t="shared" si="3"/>
        <v>0</v>
      </c>
      <c r="F70" s="90">
        <f t="shared" si="1"/>
        <v>0</v>
      </c>
    </row>
    <row r="71" spans="1:6" ht="91.5">
      <c r="A71" s="98" t="s">
        <v>47</v>
      </c>
      <c r="B71" s="78">
        <f>'[2]BOR4'!B313</f>
        <v>0</v>
      </c>
      <c r="C71" s="78">
        <f>'[2]BOR4'!C313</f>
        <v>0</v>
      </c>
      <c r="D71" s="78">
        <f>'[2]BOR4'!D313</f>
        <v>0</v>
      </c>
      <c r="E71" s="78">
        <f t="shared" si="3"/>
        <v>0</v>
      </c>
      <c r="F71" s="90">
        <f t="shared" si="1"/>
        <v>0</v>
      </c>
    </row>
    <row r="72" spans="1:6" ht="91.5">
      <c r="A72" s="99" t="s">
        <v>48</v>
      </c>
      <c r="B72" s="85">
        <f>SUM(B69:B71)</f>
        <v>98576.95000000001</v>
      </c>
      <c r="C72" s="85">
        <f>SUM(C69:C71)</f>
        <v>98576.95000000001</v>
      </c>
      <c r="D72" s="85">
        <f>SUM(D69:D71)</f>
        <v>0</v>
      </c>
      <c r="E72" s="85">
        <f t="shared" si="3"/>
        <v>-98576.95000000001</v>
      </c>
      <c r="F72" s="95">
        <f>IF(ISERROR(E72/C72),0,(E72/C72))</f>
        <v>-1</v>
      </c>
    </row>
    <row r="73" spans="1:6" ht="91.5">
      <c r="A73" s="94" t="s">
        <v>31</v>
      </c>
      <c r="B73" s="85">
        <f>B72+B68+B63+B59</f>
        <v>8945458.16</v>
      </c>
      <c r="C73" s="85">
        <f>C72+C68+C63+C59</f>
        <v>10354656.620000001</v>
      </c>
      <c r="D73" s="85">
        <f>D72+D68+D63+D59</f>
        <v>10813148.09</v>
      </c>
      <c r="E73" s="85">
        <f t="shared" si="3"/>
        <v>458491.4699999988</v>
      </c>
      <c r="F73" s="95">
        <f>IF(ISERROR(E73/C73),0,(E73/C73))</f>
        <v>0.044278771071406015</v>
      </c>
    </row>
    <row r="74" ht="91.5">
      <c r="A74" s="56" t="s">
        <v>186</v>
      </c>
    </row>
    <row r="75" ht="91.5"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30" zoomScaleNormal="30" zoomScalePageLayoutView="0" workbookViewId="0" topLeftCell="B62">
      <selection activeCell="E71" sqref="E71"/>
    </sheetView>
  </sheetViews>
  <sheetFormatPr defaultColWidth="50.3359375" defaultRowHeight="15"/>
  <cols>
    <col min="1" max="1" width="255.77734375" style="56" bestFit="1" customWidth="1"/>
    <col min="2" max="2" width="60.4453125" style="51" customWidth="1"/>
    <col min="3" max="3" width="64.10546875" style="51" customWidth="1"/>
    <col min="4" max="4" width="61.88671875" style="51" customWidth="1"/>
    <col min="5" max="5" width="70.88671875" style="51" bestFit="1" customWidth="1"/>
    <col min="6" max="6" width="77.4453125" style="57" customWidth="1"/>
    <col min="7" max="16384" width="50.3359375" style="56" customWidth="1"/>
  </cols>
  <sheetData>
    <row r="1" spans="1:6" ht="91.5">
      <c r="A1" s="50" t="s">
        <v>3</v>
      </c>
      <c r="C1" s="52"/>
      <c r="D1" s="53"/>
      <c r="E1" s="54" t="s">
        <v>6</v>
      </c>
      <c r="F1" s="123" t="s">
        <v>158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18679878</v>
      </c>
      <c r="C8" s="74">
        <v>18679878</v>
      </c>
      <c r="D8" s="74">
        <v>3800951</v>
      </c>
      <c r="E8" s="74">
        <f>D8-C8</f>
        <v>-14878927</v>
      </c>
      <c r="F8" s="75">
        <f>IF(ISERROR(E8/C8),0,(E8/C8))</f>
        <v>-0.7965216368115466</v>
      </c>
    </row>
    <row r="9" spans="1:6" ht="91.5">
      <c r="A9" s="76" t="s">
        <v>60</v>
      </c>
      <c r="B9" s="74">
        <f>SUM(B10:B21)</f>
        <v>9527368</v>
      </c>
      <c r="C9" s="74">
        <f>SUM(C10:C21)</f>
        <v>9527368</v>
      </c>
      <c r="D9" s="74">
        <f>SUM(D10:D21)</f>
        <v>0</v>
      </c>
      <c r="E9" s="74">
        <f>D9-C9</f>
        <v>-9527368</v>
      </c>
      <c r="F9" s="75">
        <f aca="true" t="shared" si="0" ref="F9:F29">IF(ISERROR(E9/C9),0,(E9/C9))</f>
        <v>-1</v>
      </c>
    </row>
    <row r="10" spans="1:6" ht="91.5">
      <c r="A10" s="77" t="s">
        <v>138</v>
      </c>
      <c r="B10" s="78">
        <v>9527368</v>
      </c>
      <c r="C10" s="78">
        <f>B10</f>
        <v>9527368</v>
      </c>
      <c r="D10" s="78">
        <v>0</v>
      </c>
      <c r="E10" s="78">
        <f>D10-C10</f>
        <v>-9527368</v>
      </c>
      <c r="F10" s="79">
        <f t="shared" si="0"/>
        <v>-1</v>
      </c>
    </row>
    <row r="11" spans="1:6" ht="91.5">
      <c r="A11" s="80" t="s">
        <v>62</v>
      </c>
      <c r="B11" s="78">
        <v>0</v>
      </c>
      <c r="C11" s="78">
        <v>0</v>
      </c>
      <c r="D11" s="78">
        <v>0</v>
      </c>
      <c r="E11" s="78">
        <v>0</v>
      </c>
      <c r="F11" s="79">
        <f t="shared" si="0"/>
        <v>0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v>0</v>
      </c>
      <c r="F12" s="79">
        <f t="shared" si="0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v>0</v>
      </c>
      <c r="F13" s="79">
        <f t="shared" si="0"/>
        <v>0</v>
      </c>
    </row>
    <row r="14" spans="1:6" ht="91.5">
      <c r="A14" s="80" t="s">
        <v>67</v>
      </c>
      <c r="B14" s="78">
        <v>0</v>
      </c>
      <c r="C14" s="78">
        <v>0</v>
      </c>
      <c r="D14" s="78">
        <v>0</v>
      </c>
      <c r="E14" s="78">
        <v>0</v>
      </c>
      <c r="F14" s="79">
        <f t="shared" si="0"/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v>0</v>
      </c>
      <c r="F15" s="79">
        <f t="shared" si="0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v>0</v>
      </c>
      <c r="F16" s="79">
        <f t="shared" si="0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v>0</v>
      </c>
      <c r="F17" s="79">
        <f t="shared" si="0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v>0</v>
      </c>
      <c r="F18" s="79">
        <f t="shared" si="0"/>
        <v>0</v>
      </c>
    </row>
    <row r="19" spans="1:6" ht="91.5">
      <c r="A19" s="80" t="s">
        <v>68</v>
      </c>
      <c r="B19" s="78">
        <v>0</v>
      </c>
      <c r="C19" s="78">
        <v>0</v>
      </c>
      <c r="D19" s="78">
        <v>0</v>
      </c>
      <c r="E19" s="78">
        <v>0</v>
      </c>
      <c r="F19" s="79">
        <f t="shared" si="0"/>
        <v>0</v>
      </c>
    </row>
    <row r="20" spans="1:6" ht="91.5">
      <c r="A20" s="80" t="s">
        <v>69</v>
      </c>
      <c r="B20" s="78">
        <v>0</v>
      </c>
      <c r="C20" s="78">
        <v>0</v>
      </c>
      <c r="D20" s="78">
        <v>0</v>
      </c>
      <c r="E20" s="78">
        <v>0</v>
      </c>
      <c r="F20" s="79">
        <f t="shared" si="0"/>
        <v>0</v>
      </c>
    </row>
    <row r="21" spans="1:6" ht="91.5">
      <c r="A21" s="80" t="s">
        <v>70</v>
      </c>
      <c r="B21" s="78">
        <v>0</v>
      </c>
      <c r="C21" s="78">
        <v>0</v>
      </c>
      <c r="D21" s="78">
        <v>0</v>
      </c>
      <c r="E21" s="78">
        <v>0</v>
      </c>
      <c r="F21" s="79">
        <f t="shared" si="0"/>
        <v>0</v>
      </c>
    </row>
    <row r="22" spans="1:6" ht="91.5">
      <c r="A22" s="81" t="s">
        <v>71</v>
      </c>
      <c r="B22" s="78">
        <v>0</v>
      </c>
      <c r="C22" s="78">
        <v>0</v>
      </c>
      <c r="D22" s="78">
        <v>0</v>
      </c>
      <c r="E22" s="78">
        <v>0</v>
      </c>
      <c r="F22" s="79">
        <f t="shared" si="0"/>
        <v>0</v>
      </c>
    </row>
    <row r="23" spans="1:6" ht="91.5">
      <c r="A23" s="130" t="s">
        <v>156</v>
      </c>
      <c r="B23" s="129">
        <v>0</v>
      </c>
      <c r="C23" s="129">
        <v>0</v>
      </c>
      <c r="D23" s="129">
        <v>0</v>
      </c>
      <c r="E23" s="129">
        <v>0</v>
      </c>
      <c r="F23" s="79">
        <f t="shared" si="0"/>
        <v>0</v>
      </c>
    </row>
    <row r="24" spans="1:6" ht="91.5">
      <c r="A24" s="82" t="s">
        <v>50</v>
      </c>
      <c r="B24" s="120">
        <v>0</v>
      </c>
      <c r="C24" s="120">
        <v>0</v>
      </c>
      <c r="D24" s="120">
        <v>0</v>
      </c>
      <c r="E24" s="120">
        <v>0</v>
      </c>
      <c r="F24" s="136">
        <f t="shared" si="0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v>0</v>
      </c>
      <c r="F25" s="79">
        <f t="shared" si="0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v>0</v>
      </c>
      <c r="F26" s="75">
        <f t="shared" si="0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v>0</v>
      </c>
      <c r="F27" s="79">
        <f t="shared" si="0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v>0</v>
      </c>
      <c r="F28" s="79">
        <f t="shared" si="0"/>
        <v>0</v>
      </c>
    </row>
    <row r="29" spans="1:6" s="50" customFormat="1" ht="90">
      <c r="A29" s="76" t="s">
        <v>14</v>
      </c>
      <c r="B29" s="74">
        <f>B28+B27+B25+B9+B8</f>
        <v>28207246</v>
      </c>
      <c r="C29" s="74">
        <f>C28+C27+C25+C9+C8</f>
        <v>28207246</v>
      </c>
      <c r="D29" s="74">
        <f>D28+D27+D25+D9+D8</f>
        <v>3800951</v>
      </c>
      <c r="E29" s="74">
        <f>D29-C29</f>
        <v>-24406295</v>
      </c>
      <c r="F29" s="75">
        <f t="shared" si="0"/>
        <v>-0.8652491278304872</v>
      </c>
    </row>
    <row r="30" spans="1:6" ht="91.5">
      <c r="A30" s="76"/>
      <c r="B30" s="86"/>
      <c r="C30" s="86"/>
      <c r="D30" s="86"/>
      <c r="E30" s="86"/>
      <c r="F30" s="87"/>
    </row>
    <row r="31" spans="1:6" s="50" customFormat="1" ht="90">
      <c r="A31" s="131" t="s">
        <v>193</v>
      </c>
      <c r="B31" s="120">
        <v>0</v>
      </c>
      <c r="C31" s="120">
        <v>0</v>
      </c>
      <c r="D31" s="120">
        <v>0</v>
      </c>
      <c r="E31" s="120">
        <v>0</v>
      </c>
      <c r="F31" s="132">
        <f>IF(ISERROR(E31/C31),0,(E31/C31))</f>
        <v>0</v>
      </c>
    </row>
    <row r="32" spans="1:6" ht="91.5">
      <c r="A32" s="82" t="s">
        <v>0</v>
      </c>
      <c r="B32" s="159"/>
      <c r="C32" s="159"/>
      <c r="D32" s="159"/>
      <c r="E32" s="159"/>
      <c r="F32" s="160"/>
    </row>
    <row r="33" spans="1:6" s="50" customFormat="1" ht="90">
      <c r="A33" s="131" t="s">
        <v>15</v>
      </c>
      <c r="B33" s="120">
        <v>0</v>
      </c>
      <c r="C33" s="120">
        <v>0</v>
      </c>
      <c r="D33" s="120">
        <v>0</v>
      </c>
      <c r="E33" s="120">
        <v>0</v>
      </c>
      <c r="F33" s="136">
        <f>IF(ISERROR(E33/C33),0,(E33/C33))</f>
        <v>0</v>
      </c>
    </row>
    <row r="34" spans="1:6" s="50" customFormat="1" ht="90">
      <c r="A34" s="133" t="s">
        <v>0</v>
      </c>
      <c r="B34" s="134"/>
      <c r="C34" s="134"/>
      <c r="D34" s="134"/>
      <c r="E34" s="134"/>
      <c r="F34" s="135"/>
    </row>
    <row r="35" spans="1:6" s="50" customFormat="1" ht="90">
      <c r="A35" s="131" t="s">
        <v>56</v>
      </c>
      <c r="B35" s="120">
        <v>0</v>
      </c>
      <c r="C35" s="120">
        <v>0</v>
      </c>
      <c r="D35" s="120">
        <v>0</v>
      </c>
      <c r="E35" s="120">
        <v>0</v>
      </c>
      <c r="F35" s="136">
        <f>IF(ISERROR(E35/C35),0,(E35/C35))</f>
        <v>0</v>
      </c>
    </row>
    <row r="36" spans="1:6" s="50" customFormat="1" ht="90">
      <c r="A36" s="133" t="s">
        <v>0</v>
      </c>
      <c r="B36" s="134"/>
      <c r="C36" s="134"/>
      <c r="D36" s="134"/>
      <c r="E36" s="134"/>
      <c r="F36" s="135"/>
    </row>
    <row r="37" spans="1:6" s="50" customFormat="1" ht="90">
      <c r="A37" s="131" t="s">
        <v>16</v>
      </c>
      <c r="B37" s="120">
        <f>'[3]Sheet1'!$D$46</f>
        <v>24281276.23</v>
      </c>
      <c r="C37" s="120">
        <v>28932083</v>
      </c>
      <c r="D37" s="120">
        <v>28932083</v>
      </c>
      <c r="E37" s="120">
        <f>D37-C37</f>
        <v>0</v>
      </c>
      <c r="F37" s="136">
        <f>IF(ISERROR(E37/C37),0,(E37/C37))</f>
        <v>0</v>
      </c>
    </row>
    <row r="38" spans="1:6" s="50" customFormat="1" ht="90">
      <c r="A38" s="133"/>
      <c r="B38" s="134"/>
      <c r="C38" s="134"/>
      <c r="D38" s="134"/>
      <c r="E38" s="134"/>
      <c r="F38" s="135"/>
    </row>
    <row r="39" spans="1:6" s="50" customFormat="1" ht="90">
      <c r="A39" s="131" t="s">
        <v>17</v>
      </c>
      <c r="B39" s="120">
        <f>B37+B35+B33+B29+B31</f>
        <v>52488522.230000004</v>
      </c>
      <c r="C39" s="120">
        <f>C37+C35+C33+C29</f>
        <v>57139329</v>
      </c>
      <c r="D39" s="120">
        <f>D37+D35+D33+D29</f>
        <v>32733034</v>
      </c>
      <c r="E39" s="120">
        <f>D39-C39</f>
        <v>-24406295</v>
      </c>
      <c r="F39" s="136">
        <f>IF(ISERROR(E39/C39),0,(E39/C39))</f>
        <v>-0.42713653497751086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f>'[4]A'!B24</f>
        <v>0</v>
      </c>
      <c r="C41" s="138">
        <f>'[4]A'!C24</f>
        <v>0</v>
      </c>
      <c r="D41" s="138">
        <v>0</v>
      </c>
      <c r="E41" s="138">
        <f>D41-C41</f>
        <v>0</v>
      </c>
      <c r="F41" s="139">
        <f>IF(ISERROR(E41/C41),0,(E41/C41))</f>
        <v>0</v>
      </c>
    </row>
    <row r="42" spans="1:6" ht="91.5">
      <c r="A42" s="77" t="s">
        <v>20</v>
      </c>
      <c r="B42" s="78">
        <v>0</v>
      </c>
      <c r="C42" s="78">
        <v>0</v>
      </c>
      <c r="D42" s="78">
        <v>0</v>
      </c>
      <c r="E42" s="78">
        <v>0</v>
      </c>
      <c r="F42" s="92">
        <f aca="true" t="shared" si="1" ref="F42:F73">IF(ISERROR(E42/C42),0,(E42/C42))</f>
        <v>0</v>
      </c>
    </row>
    <row r="43" spans="1:6" ht="91.5">
      <c r="A43" s="80" t="s">
        <v>21</v>
      </c>
      <c r="B43" s="78">
        <v>0</v>
      </c>
      <c r="C43" s="78">
        <v>0</v>
      </c>
      <c r="D43" s="78">
        <v>0</v>
      </c>
      <c r="E43" s="78">
        <v>0</v>
      </c>
      <c r="F43" s="90">
        <f t="shared" si="1"/>
        <v>0</v>
      </c>
    </row>
    <row r="44" spans="1:6" ht="91.5">
      <c r="A44" s="80" t="s">
        <v>49</v>
      </c>
      <c r="B44" s="78">
        <f>'[3]A'!$B$90</f>
        <v>33808644.38</v>
      </c>
      <c r="C44" s="78">
        <f>'[3]A'!$C$90</f>
        <v>38459450.64</v>
      </c>
      <c r="D44" s="78">
        <f>'[3]A'!$D$90</f>
        <v>28932083</v>
      </c>
      <c r="E44" s="78">
        <f>D44-C44</f>
        <v>-9527367.64</v>
      </c>
      <c r="F44" s="90">
        <f t="shared" si="1"/>
        <v>-0.24772500598568092</v>
      </c>
    </row>
    <row r="45" spans="1:6" ht="91.5">
      <c r="A45" s="80" t="s">
        <v>22</v>
      </c>
      <c r="B45" s="78">
        <v>0</v>
      </c>
      <c r="C45" s="78">
        <v>0</v>
      </c>
      <c r="D45" s="78">
        <v>0</v>
      </c>
      <c r="E45" s="78">
        <v>0</v>
      </c>
      <c r="F45" s="90">
        <f t="shared" si="1"/>
        <v>0</v>
      </c>
    </row>
    <row r="46" spans="1:6" ht="91.5">
      <c r="A46" s="80" t="s">
        <v>23</v>
      </c>
      <c r="B46" s="78">
        <f>'[3]A'!$B$132</f>
        <v>3492679.2</v>
      </c>
      <c r="C46" s="78">
        <f>'[3]A'!$C$132-15000000</f>
        <v>3492679.1999999993</v>
      </c>
      <c r="D46" s="78">
        <f>'[3]A'!$D$132</f>
        <v>3594297.36907</v>
      </c>
      <c r="E46" s="78">
        <v>0</v>
      </c>
      <c r="F46" s="90">
        <f t="shared" si="1"/>
        <v>0</v>
      </c>
    </row>
    <row r="47" spans="1:6" ht="91.5">
      <c r="A47" s="80" t="s">
        <v>24</v>
      </c>
      <c r="B47" s="78">
        <v>0</v>
      </c>
      <c r="C47" s="78">
        <v>0</v>
      </c>
      <c r="D47" s="78">
        <v>0</v>
      </c>
      <c r="E47" s="78">
        <v>0</v>
      </c>
      <c r="F47" s="90">
        <f t="shared" si="1"/>
        <v>0</v>
      </c>
    </row>
    <row r="48" spans="1:6" ht="91.5">
      <c r="A48" s="80" t="s">
        <v>25</v>
      </c>
      <c r="B48" s="78">
        <v>0</v>
      </c>
      <c r="C48" s="78">
        <v>0</v>
      </c>
      <c r="D48" s="78">
        <v>0</v>
      </c>
      <c r="E48" s="78">
        <v>0</v>
      </c>
      <c r="F48" s="90">
        <f t="shared" si="1"/>
        <v>0</v>
      </c>
    </row>
    <row r="49" spans="1:6" s="50" customFormat="1" ht="90">
      <c r="A49" s="76" t="s">
        <v>26</v>
      </c>
      <c r="B49" s="74">
        <f>SUM(B41:B48)</f>
        <v>37301323.580000006</v>
      </c>
      <c r="C49" s="74">
        <f>SUM(C41:C48)</f>
        <v>41952129.84</v>
      </c>
      <c r="D49" s="74">
        <f>SUM(D41:D48)</f>
        <v>32526380.36907</v>
      </c>
      <c r="E49" s="74">
        <f>D49-C49</f>
        <v>-9425749.470930003</v>
      </c>
      <c r="F49" s="87">
        <f t="shared" si="1"/>
        <v>-0.22467868751547518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v>0</v>
      </c>
      <c r="F50" s="90">
        <f t="shared" si="1"/>
        <v>0</v>
      </c>
    </row>
    <row r="51" spans="1:6" ht="91.5">
      <c r="A51" s="80" t="s">
        <v>28</v>
      </c>
      <c r="B51" s="78">
        <f>'[3]A'!$B$243</f>
        <v>187198.8</v>
      </c>
      <c r="C51" s="78">
        <f>'[3]A'!$C$243</f>
        <v>187198.8</v>
      </c>
      <c r="D51" s="78">
        <f>'[3]A'!$D$243</f>
        <v>206654</v>
      </c>
      <c r="E51" s="78">
        <f>D51-C51</f>
        <v>19455.20000000001</v>
      </c>
      <c r="F51" s="90">
        <f t="shared" si="1"/>
        <v>0.10392801663258532</v>
      </c>
    </row>
    <row r="52" spans="1:6" ht="91.5">
      <c r="A52" s="80" t="s">
        <v>29</v>
      </c>
      <c r="B52" s="78">
        <v>0</v>
      </c>
      <c r="C52" s="78">
        <v>0</v>
      </c>
      <c r="D52" s="78">
        <v>0</v>
      </c>
      <c r="E52" s="78">
        <v>0</v>
      </c>
      <c r="F52" s="90">
        <f t="shared" si="1"/>
        <v>0</v>
      </c>
    </row>
    <row r="53" spans="1:6" ht="91.5">
      <c r="A53" s="80" t="s">
        <v>30</v>
      </c>
      <c r="B53" s="78">
        <v>15000000</v>
      </c>
      <c r="C53" s="78">
        <v>15000000</v>
      </c>
      <c r="D53" s="78">
        <v>0</v>
      </c>
      <c r="E53" s="78">
        <v>0</v>
      </c>
      <c r="F53" s="90">
        <f t="shared" si="1"/>
        <v>0</v>
      </c>
    </row>
    <row r="54" spans="1:6" s="50" customFormat="1" ht="90">
      <c r="A54" s="148" t="s">
        <v>31</v>
      </c>
      <c r="B54" s="74">
        <f>B53+B52+B51+B50+B49</f>
        <v>52488522.38000001</v>
      </c>
      <c r="C54" s="74">
        <f>C53+C52+C51+C50+C49</f>
        <v>57139328.64</v>
      </c>
      <c r="D54" s="74">
        <f>D53+D52+D51+D50+D49</f>
        <v>32733034.36907</v>
      </c>
      <c r="E54" s="74">
        <f>D54-C54</f>
        <v>-24406294.27093</v>
      </c>
      <c r="F54" s="161">
        <f t="shared" si="1"/>
        <v>-0.4271365249091243</v>
      </c>
    </row>
    <row r="55" spans="1:6" ht="91.5">
      <c r="A55" s="91" t="s">
        <v>32</v>
      </c>
      <c r="B55" s="70"/>
      <c r="C55" s="70"/>
      <c r="D55" s="70"/>
      <c r="E55" s="70"/>
      <c r="F55" s="71"/>
    </row>
    <row r="56" spans="1:6" ht="91.5">
      <c r="A56" s="77" t="s">
        <v>33</v>
      </c>
      <c r="B56" s="78">
        <f>'[3]A'!$B$292</f>
        <v>2600066.08</v>
      </c>
      <c r="C56" s="78">
        <f>'[3]A'!$C$292</f>
        <v>2600066.08</v>
      </c>
      <c r="D56" s="78">
        <f>'[3]A'!$D$292</f>
        <v>2514010.56</v>
      </c>
      <c r="E56" s="78">
        <f aca="true" t="shared" si="2" ref="E56:E65">D56-C56</f>
        <v>-86055.52000000002</v>
      </c>
      <c r="F56" s="92">
        <f t="shared" si="1"/>
        <v>-0.03309743573901784</v>
      </c>
    </row>
    <row r="57" spans="1:6" ht="91.5">
      <c r="A57" s="80" t="s">
        <v>34</v>
      </c>
      <c r="B57" s="78">
        <f>'[3]A'!$B$293</f>
        <v>17640.13</v>
      </c>
      <c r="C57" s="78">
        <f>'[3]A'!$C$293</f>
        <v>17640.13</v>
      </c>
      <c r="D57" s="78">
        <f>'[3]A'!$D$293</f>
        <v>23000</v>
      </c>
      <c r="E57" s="78">
        <f t="shared" si="2"/>
        <v>5359.869999999999</v>
      </c>
      <c r="F57" s="90">
        <f t="shared" si="1"/>
        <v>0.303845266446449</v>
      </c>
    </row>
    <row r="58" spans="1:6" ht="91.5">
      <c r="A58" s="80" t="s">
        <v>35</v>
      </c>
      <c r="B58" s="78">
        <f>'[3]A'!$B$294</f>
        <v>586782.3</v>
      </c>
      <c r="C58" s="78">
        <f>'[3]A'!$C$294</f>
        <v>586782.3</v>
      </c>
      <c r="D58" s="78">
        <f>'[3]A'!$D$294</f>
        <v>611527.23</v>
      </c>
      <c r="E58" s="78">
        <f t="shared" si="2"/>
        <v>24744.929999999935</v>
      </c>
      <c r="F58" s="90">
        <f t="shared" si="1"/>
        <v>0.042170546044077904</v>
      </c>
    </row>
    <row r="59" spans="1:6" ht="91.5">
      <c r="A59" s="93" t="s">
        <v>36</v>
      </c>
      <c r="B59" s="96">
        <f>SUM(B56:B58)</f>
        <v>3204488.51</v>
      </c>
      <c r="C59" s="96">
        <f>SUM(C56:C58)</f>
        <v>3204488.51</v>
      </c>
      <c r="D59" s="96">
        <f>SUM(D56:D58)</f>
        <v>3148537.79</v>
      </c>
      <c r="E59" s="96">
        <f t="shared" si="2"/>
        <v>-55950.71999999974</v>
      </c>
      <c r="F59" s="97">
        <f t="shared" si="1"/>
        <v>-0.01746010941384207</v>
      </c>
    </row>
    <row r="60" spans="1:6" ht="91.5">
      <c r="A60" s="80" t="s">
        <v>37</v>
      </c>
      <c r="B60" s="78">
        <f>'[3]A'!$B$296</f>
        <v>254892.41999999998</v>
      </c>
      <c r="C60" s="78">
        <f>'[3]A'!$C$296</f>
        <v>254892.41999999998</v>
      </c>
      <c r="D60" s="78">
        <f>'[3]A'!$D$296</f>
        <v>234000</v>
      </c>
      <c r="E60" s="78">
        <f t="shared" si="2"/>
        <v>-20892.419999999984</v>
      </c>
      <c r="F60" s="90">
        <f t="shared" si="1"/>
        <v>-0.08196563868003601</v>
      </c>
    </row>
    <row r="61" spans="1:6" ht="91.5">
      <c r="A61" s="80" t="s">
        <v>38</v>
      </c>
      <c r="B61" s="78">
        <f>'[3]A'!$B$297</f>
        <v>1262502.34</v>
      </c>
      <c r="C61" s="78">
        <f>'[3]A'!$C$297</f>
        <v>1262502.34</v>
      </c>
      <c r="D61" s="78">
        <f>'[3]A'!$D$297</f>
        <v>835136.57907</v>
      </c>
      <c r="E61" s="78">
        <f t="shared" si="2"/>
        <v>-427365.7609300001</v>
      </c>
      <c r="F61" s="90">
        <f t="shared" si="1"/>
        <v>-0.33850690599908123</v>
      </c>
    </row>
    <row r="62" spans="1:6" ht="91.5">
      <c r="A62" s="80" t="s">
        <v>39</v>
      </c>
      <c r="B62" s="78">
        <f>'[3]A'!$B$298</f>
        <v>69102.1</v>
      </c>
      <c r="C62" s="78">
        <f>'[3]A'!$C$298</f>
        <v>69102.1</v>
      </c>
      <c r="D62" s="78">
        <f>'[3]A'!$D$298</f>
        <v>124596</v>
      </c>
      <c r="E62" s="78">
        <f t="shared" si="2"/>
        <v>55493.899999999994</v>
      </c>
      <c r="F62" s="90">
        <f t="shared" si="1"/>
        <v>0.8030711078245087</v>
      </c>
    </row>
    <row r="63" spans="1:6" ht="91.5">
      <c r="A63" s="76" t="s">
        <v>40</v>
      </c>
      <c r="B63" s="83">
        <f>SUM(B60:B62)</f>
        <v>1586496.86</v>
      </c>
      <c r="C63" s="83">
        <f>SUM(C60:C62)</f>
        <v>1586496.86</v>
      </c>
      <c r="D63" s="83">
        <f>SUM(D60:D62)</f>
        <v>1193732.57907</v>
      </c>
      <c r="E63" s="83">
        <f>SUM(E60:E62)</f>
        <v>-392764.2809300001</v>
      </c>
      <c r="F63" s="87">
        <f t="shared" si="1"/>
        <v>-0.24756700806202672</v>
      </c>
    </row>
    <row r="64" spans="1:6" ht="91.5">
      <c r="A64" s="80" t="s">
        <v>41</v>
      </c>
      <c r="B64" s="78">
        <f>'[3]A'!$B$300</f>
        <v>273568.23</v>
      </c>
      <c r="C64" s="78">
        <f>'[3]A'!$C$300</f>
        <v>273568.23</v>
      </c>
      <c r="D64" s="78">
        <f>'[3]A'!$D$300</f>
        <v>544388</v>
      </c>
      <c r="E64" s="78">
        <f t="shared" si="2"/>
        <v>270819.77</v>
      </c>
      <c r="F64" s="90">
        <f t="shared" si="1"/>
        <v>0.9899532924565109</v>
      </c>
    </row>
    <row r="65" spans="1:6" ht="91.5">
      <c r="A65" s="80" t="s">
        <v>42</v>
      </c>
      <c r="B65" s="78">
        <f>'[3]A'!$B$301</f>
        <v>31935853.740000002</v>
      </c>
      <c r="C65" s="78">
        <f>'[3]A'!$C$301-15000000</f>
        <v>36586660</v>
      </c>
      <c r="D65" s="78">
        <f>'[3]A'!$D$301</f>
        <v>27514965</v>
      </c>
      <c r="E65" s="78">
        <f t="shared" si="2"/>
        <v>-9071695</v>
      </c>
      <c r="F65" s="90">
        <f t="shared" si="1"/>
        <v>-0.2479508924837632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v>0</v>
      </c>
      <c r="F66" s="90">
        <f t="shared" si="1"/>
        <v>0</v>
      </c>
    </row>
    <row r="67" spans="1:6" ht="91.5">
      <c r="A67" s="80" t="s">
        <v>44</v>
      </c>
      <c r="B67" s="78">
        <f>'[3]A'!$B$303+15000000</f>
        <v>15187198.8</v>
      </c>
      <c r="C67" s="78">
        <f>'[3]A'!$C$303+15000000</f>
        <v>15187198.8</v>
      </c>
      <c r="D67" s="78">
        <f>'[3]A'!$D$303</f>
        <v>206654</v>
      </c>
      <c r="E67" s="78">
        <f aca="true" t="shared" si="3" ref="E67:E73">D67-C67</f>
        <v>-14980544.8</v>
      </c>
      <c r="F67" s="90">
        <f t="shared" si="1"/>
        <v>-0.9863928824056745</v>
      </c>
    </row>
    <row r="68" spans="1:6" ht="91.5">
      <c r="A68" s="76" t="s">
        <v>45</v>
      </c>
      <c r="B68" s="85">
        <f>SUM(B64:B67)</f>
        <v>47396620.77</v>
      </c>
      <c r="C68" s="85">
        <f>SUM(C64:C67)</f>
        <v>52047427.03</v>
      </c>
      <c r="D68" s="85">
        <f>SUM(D64:D67)</f>
        <v>28266007</v>
      </c>
      <c r="E68" s="85">
        <f t="shared" si="3"/>
        <v>-23781420.03</v>
      </c>
      <c r="F68" s="87">
        <f t="shared" si="1"/>
        <v>-0.45691826449542744</v>
      </c>
    </row>
    <row r="69" spans="1:6" ht="91.5">
      <c r="A69" s="80" t="s">
        <v>57</v>
      </c>
      <c r="B69" s="78">
        <f>'[3]A'!$B$305</f>
        <v>300916.24</v>
      </c>
      <c r="C69" s="78">
        <f>'[3]A'!$C$305</f>
        <v>300916.24</v>
      </c>
      <c r="D69" s="78">
        <f>'[3]A'!$D$305</f>
        <v>124757</v>
      </c>
      <c r="E69" s="78">
        <f t="shared" si="3"/>
        <v>-176159.24</v>
      </c>
      <c r="F69" s="90">
        <f t="shared" si="1"/>
        <v>-0.5854095478529174</v>
      </c>
    </row>
    <row r="70" spans="1:6" ht="91.5">
      <c r="A70" s="80" t="s">
        <v>46</v>
      </c>
      <c r="B70" s="78">
        <f>'[4]A'!B306</f>
        <v>0</v>
      </c>
      <c r="C70" s="78">
        <f>'[4]A'!C306</f>
        <v>0</v>
      </c>
      <c r="D70" s="78">
        <f>'[4]A'!D306</f>
        <v>0</v>
      </c>
      <c r="E70" s="78">
        <f t="shared" si="3"/>
        <v>0</v>
      </c>
      <c r="F70" s="90">
        <f t="shared" si="1"/>
        <v>0</v>
      </c>
    </row>
    <row r="71" spans="1:6" ht="91.5">
      <c r="A71" s="98" t="s">
        <v>47</v>
      </c>
      <c r="B71" s="78">
        <f>'[4]A'!B307</f>
        <v>0</v>
      </c>
      <c r="C71" s="78">
        <f>'[4]A'!C307</f>
        <v>0</v>
      </c>
      <c r="D71" s="78">
        <f>'[4]A'!D307</f>
        <v>0</v>
      </c>
      <c r="E71" s="78">
        <f t="shared" si="3"/>
        <v>0</v>
      </c>
      <c r="F71" s="90">
        <f t="shared" si="1"/>
        <v>0</v>
      </c>
    </row>
    <row r="72" spans="1:6" ht="91.5">
      <c r="A72" s="99" t="s">
        <v>48</v>
      </c>
      <c r="B72" s="85">
        <f>SUM(B69:B71)</f>
        <v>300916.24</v>
      </c>
      <c r="C72" s="85">
        <f>SUM(C69:C71)</f>
        <v>300916.24</v>
      </c>
      <c r="D72" s="85">
        <f>SUM(D69:D71)</f>
        <v>124757</v>
      </c>
      <c r="E72" s="85">
        <f t="shared" si="3"/>
        <v>-176159.24</v>
      </c>
      <c r="F72" s="95">
        <f t="shared" si="1"/>
        <v>-0.5854095478529174</v>
      </c>
    </row>
    <row r="73" spans="1:6" ht="91.5">
      <c r="A73" s="94" t="s">
        <v>31</v>
      </c>
      <c r="B73" s="85">
        <f>B59+B63+B68+B72</f>
        <v>52488522.38</v>
      </c>
      <c r="C73" s="85">
        <f>C59+C63+C68+C72</f>
        <v>57139328.64</v>
      </c>
      <c r="D73" s="85">
        <f>D59+D63+D68+D72</f>
        <v>32733034.36907</v>
      </c>
      <c r="E73" s="85">
        <f t="shared" si="3"/>
        <v>-24406294.27093</v>
      </c>
      <c r="F73" s="95">
        <f t="shared" si="1"/>
        <v>-0.4271365249091243</v>
      </c>
    </row>
    <row r="74" ht="91.5">
      <c r="A74" s="56" t="s">
        <v>186</v>
      </c>
    </row>
    <row r="75" ht="91.5">
      <c r="F75" s="100"/>
    </row>
    <row r="76" spans="1:6" ht="91.5">
      <c r="A76" s="50"/>
      <c r="F76" s="100"/>
    </row>
    <row r="77" ht="91.5"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30" zoomScaleNormal="30" zoomScalePageLayoutView="0" workbookViewId="0" topLeftCell="B28">
      <selection activeCell="A8" sqref="A8"/>
    </sheetView>
  </sheetViews>
  <sheetFormatPr defaultColWidth="73.10546875" defaultRowHeight="15"/>
  <cols>
    <col min="1" max="1" width="255.77734375" style="56" bestFit="1" customWidth="1"/>
    <col min="2" max="4" width="68.6640625" style="51" bestFit="1" customWidth="1"/>
    <col min="5" max="5" width="70.4453125" style="51" bestFit="1" customWidth="1"/>
    <col min="6" max="6" width="51.6640625" style="57" customWidth="1"/>
    <col min="7" max="16384" width="73.10546875" style="56" customWidth="1"/>
  </cols>
  <sheetData>
    <row r="1" spans="1:5" ht="91.5">
      <c r="A1" s="50" t="s">
        <v>3</v>
      </c>
      <c r="C1" s="52"/>
      <c r="D1" s="54" t="s">
        <v>6</v>
      </c>
      <c r="E1" s="123" t="s">
        <v>3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107.25" customHeight="1" thickTop="1">
      <c r="A4" s="176" t="s">
        <v>7</v>
      </c>
      <c r="B4" s="177" t="s">
        <v>8</v>
      </c>
      <c r="C4" s="178" t="s">
        <v>9</v>
      </c>
      <c r="D4" s="178" t="s">
        <v>9</v>
      </c>
      <c r="E4" s="179" t="s">
        <v>55</v>
      </c>
      <c r="F4" s="180" t="s">
        <v>1</v>
      </c>
    </row>
    <row r="5" spans="1:6" ht="72" customHeight="1">
      <c r="A5" s="181"/>
      <c r="B5" s="182" t="s">
        <v>95</v>
      </c>
      <c r="C5" s="182" t="s">
        <v>95</v>
      </c>
      <c r="D5" s="182" t="s">
        <v>98</v>
      </c>
      <c r="E5" s="182" t="s">
        <v>95</v>
      </c>
      <c r="F5" s="183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167">
        <v>52433423</v>
      </c>
      <c r="C8" s="74">
        <v>52433423</v>
      </c>
      <c r="D8" s="74">
        <v>54030783</v>
      </c>
      <c r="E8" s="74">
        <f>D8-C8</f>
        <v>1597360</v>
      </c>
      <c r="F8" s="75">
        <f>IF(ISERROR(E8/C8),0,(E8/C8))</f>
        <v>0.030464537857846894</v>
      </c>
    </row>
    <row r="9" spans="1:6" ht="91.5">
      <c r="A9" s="76" t="s">
        <v>60</v>
      </c>
      <c r="B9" s="167">
        <f>SUM(B10:B22)</f>
        <v>50350519.63</v>
      </c>
      <c r="C9" s="167">
        <f>SUM(C10:C22)</f>
        <v>53927787</v>
      </c>
      <c r="D9" s="74">
        <f>SUM(D10:D24)</f>
        <v>65571136</v>
      </c>
      <c r="E9" s="74">
        <f>D9-C9</f>
        <v>11643349</v>
      </c>
      <c r="F9" s="75">
        <f aca="true" t="shared" si="0" ref="F9:F30">IF(ISERROR(E9/C9),0,(E9/C9))</f>
        <v>0.21590630077217893</v>
      </c>
    </row>
    <row r="10" spans="1:6" ht="91.5">
      <c r="A10" s="77" t="s">
        <v>138</v>
      </c>
      <c r="B10" s="163">
        <v>16318798.42</v>
      </c>
      <c r="C10" s="163">
        <v>17107155</v>
      </c>
      <c r="D10" s="78">
        <v>24059799</v>
      </c>
      <c r="E10" s="78">
        <f aca="true" t="shared" si="1" ref="E10:E30">D10-C10</f>
        <v>6952644</v>
      </c>
      <c r="F10" s="79">
        <f t="shared" si="0"/>
        <v>0.40641731486036103</v>
      </c>
    </row>
    <row r="11" spans="1:6" ht="91.5">
      <c r="A11" s="80" t="s">
        <v>62</v>
      </c>
      <c r="B11" s="163">
        <v>0</v>
      </c>
      <c r="C11" s="163">
        <v>0</v>
      </c>
      <c r="D11" s="78">
        <v>0</v>
      </c>
      <c r="E11" s="78">
        <f t="shared" si="1"/>
        <v>0</v>
      </c>
      <c r="F11" s="79">
        <f t="shared" si="0"/>
        <v>0</v>
      </c>
    </row>
    <row r="12" spans="1:6" ht="91.5">
      <c r="A12" s="80" t="s">
        <v>99</v>
      </c>
      <c r="B12" s="163">
        <v>0</v>
      </c>
      <c r="C12" s="163">
        <v>0</v>
      </c>
      <c r="D12" s="78">
        <v>0</v>
      </c>
      <c r="E12" s="78">
        <f t="shared" si="1"/>
        <v>0</v>
      </c>
      <c r="F12" s="79">
        <f t="shared" si="0"/>
        <v>0</v>
      </c>
    </row>
    <row r="13" spans="1:6" ht="91.5">
      <c r="A13" s="80" t="s">
        <v>66</v>
      </c>
      <c r="B13" s="163">
        <v>0</v>
      </c>
      <c r="C13" s="163">
        <v>0</v>
      </c>
      <c r="D13" s="78">
        <v>0</v>
      </c>
      <c r="E13" s="78">
        <f t="shared" si="1"/>
        <v>0</v>
      </c>
      <c r="F13" s="79">
        <f t="shared" si="0"/>
        <v>0</v>
      </c>
    </row>
    <row r="14" spans="1:6" ht="91.5">
      <c r="A14" s="80" t="s">
        <v>67</v>
      </c>
      <c r="B14" s="163">
        <v>0</v>
      </c>
      <c r="C14" s="163">
        <v>0</v>
      </c>
      <c r="D14" s="78">
        <v>0</v>
      </c>
      <c r="E14" s="78">
        <f t="shared" si="1"/>
        <v>0</v>
      </c>
      <c r="F14" s="79">
        <f t="shared" si="0"/>
        <v>0</v>
      </c>
    </row>
    <row r="15" spans="1:6" ht="91.5">
      <c r="A15" s="80" t="s">
        <v>101</v>
      </c>
      <c r="B15" s="163">
        <v>0</v>
      </c>
      <c r="C15" s="163">
        <v>0</v>
      </c>
      <c r="D15" s="78">
        <v>0</v>
      </c>
      <c r="E15" s="78">
        <f t="shared" si="1"/>
        <v>0</v>
      </c>
      <c r="F15" s="79">
        <f t="shared" si="0"/>
        <v>0</v>
      </c>
    </row>
    <row r="16" spans="1:6" ht="91.5">
      <c r="A16" s="80" t="s">
        <v>102</v>
      </c>
      <c r="B16" s="163">
        <v>0</v>
      </c>
      <c r="C16" s="163">
        <v>0</v>
      </c>
      <c r="D16" s="78">
        <v>0</v>
      </c>
      <c r="E16" s="78">
        <f t="shared" si="1"/>
        <v>0</v>
      </c>
      <c r="F16" s="79">
        <f t="shared" si="0"/>
        <v>0</v>
      </c>
    </row>
    <row r="17" spans="1:6" ht="91.5">
      <c r="A17" s="80" t="s">
        <v>64</v>
      </c>
      <c r="B17" s="163">
        <v>0</v>
      </c>
      <c r="C17" s="163">
        <v>0</v>
      </c>
      <c r="D17" s="78">
        <v>0</v>
      </c>
      <c r="E17" s="78">
        <f t="shared" si="1"/>
        <v>0</v>
      </c>
      <c r="F17" s="79">
        <f t="shared" si="0"/>
        <v>0</v>
      </c>
    </row>
    <row r="18" spans="1:6" ht="91.5">
      <c r="A18" s="80" t="s">
        <v>73</v>
      </c>
      <c r="B18" s="163">
        <v>0</v>
      </c>
      <c r="C18" s="163">
        <v>0</v>
      </c>
      <c r="D18" s="78">
        <v>0</v>
      </c>
      <c r="E18" s="78">
        <f t="shared" si="1"/>
        <v>0</v>
      </c>
      <c r="F18" s="79">
        <f t="shared" si="0"/>
        <v>0</v>
      </c>
    </row>
    <row r="19" spans="1:6" ht="91.5">
      <c r="A19" s="80" t="s">
        <v>68</v>
      </c>
      <c r="B19" s="163">
        <v>489881.02</v>
      </c>
      <c r="C19" s="163">
        <v>1079624</v>
      </c>
      <c r="D19" s="78">
        <v>0</v>
      </c>
      <c r="E19" s="78">
        <f t="shared" si="1"/>
        <v>-1079624</v>
      </c>
      <c r="F19" s="79">
        <f t="shared" si="0"/>
        <v>-1</v>
      </c>
    </row>
    <row r="20" spans="1:6" ht="91.5">
      <c r="A20" s="80" t="s">
        <v>69</v>
      </c>
      <c r="B20" s="163">
        <v>338851</v>
      </c>
      <c r="C20" s="163">
        <v>341008</v>
      </c>
      <c r="D20" s="78">
        <v>0</v>
      </c>
      <c r="E20" s="78">
        <f t="shared" si="1"/>
        <v>-341008</v>
      </c>
      <c r="F20" s="79">
        <f t="shared" si="0"/>
        <v>-1</v>
      </c>
    </row>
    <row r="21" spans="1:6" ht="91.5">
      <c r="A21" s="80" t="s">
        <v>70</v>
      </c>
      <c r="B21" s="163">
        <v>33108100.24</v>
      </c>
      <c r="C21" s="163">
        <v>35000000</v>
      </c>
      <c r="D21" s="78">
        <v>39611337</v>
      </c>
      <c r="E21" s="78">
        <f t="shared" si="1"/>
        <v>4611337</v>
      </c>
      <c r="F21" s="79">
        <f t="shared" si="0"/>
        <v>0.13175248571428572</v>
      </c>
    </row>
    <row r="22" spans="1:6" ht="91.5">
      <c r="A22" s="81" t="s">
        <v>71</v>
      </c>
      <c r="B22" s="163">
        <v>94888.95</v>
      </c>
      <c r="C22" s="163">
        <v>400000</v>
      </c>
      <c r="D22" s="78">
        <v>400000</v>
      </c>
      <c r="E22" s="78">
        <f t="shared" si="1"/>
        <v>0</v>
      </c>
      <c r="F22" s="79">
        <f t="shared" si="0"/>
        <v>0</v>
      </c>
    </row>
    <row r="23" spans="1:6" ht="91.5">
      <c r="A23" s="130" t="s">
        <v>156</v>
      </c>
      <c r="B23" s="168">
        <v>0</v>
      </c>
      <c r="C23" s="168">
        <v>0</v>
      </c>
      <c r="D23" s="129">
        <v>0</v>
      </c>
      <c r="E23" s="129">
        <f t="shared" si="1"/>
        <v>0</v>
      </c>
      <c r="F23" s="79">
        <f t="shared" si="0"/>
        <v>0</v>
      </c>
    </row>
    <row r="24" spans="1:6" ht="91.5">
      <c r="A24" s="130" t="s">
        <v>195</v>
      </c>
      <c r="B24" s="169">
        <v>0</v>
      </c>
      <c r="C24" s="169">
        <v>0</v>
      </c>
      <c r="D24" s="162">
        <v>1500000</v>
      </c>
      <c r="E24" s="162">
        <f t="shared" si="1"/>
        <v>1500000</v>
      </c>
      <c r="F24" s="92">
        <f t="shared" si="0"/>
        <v>0</v>
      </c>
    </row>
    <row r="25" spans="1:6" ht="91.5">
      <c r="A25" s="82" t="s">
        <v>50</v>
      </c>
      <c r="B25" s="170">
        <v>0</v>
      </c>
      <c r="C25" s="170">
        <v>0</v>
      </c>
      <c r="D25" s="120">
        <v>0</v>
      </c>
      <c r="E25" s="120">
        <f t="shared" si="1"/>
        <v>0</v>
      </c>
      <c r="F25" s="136">
        <f t="shared" si="0"/>
        <v>0</v>
      </c>
    </row>
    <row r="26" spans="1:6" ht="91.5">
      <c r="A26" s="77" t="s">
        <v>53</v>
      </c>
      <c r="B26" s="163">
        <v>0</v>
      </c>
      <c r="C26" s="163">
        <v>0</v>
      </c>
      <c r="D26" s="78">
        <v>0</v>
      </c>
      <c r="E26" s="78">
        <f t="shared" si="1"/>
        <v>0</v>
      </c>
      <c r="F26" s="79">
        <f t="shared" si="0"/>
        <v>0</v>
      </c>
    </row>
    <row r="27" spans="1:6" ht="91.5">
      <c r="A27" s="76" t="s">
        <v>52</v>
      </c>
      <c r="B27" s="165">
        <f>B28</f>
        <v>0</v>
      </c>
      <c r="C27" s="165">
        <f>C28</f>
        <v>0</v>
      </c>
      <c r="D27" s="83">
        <f>D28</f>
        <v>0</v>
      </c>
      <c r="E27" s="83">
        <f t="shared" si="1"/>
        <v>0</v>
      </c>
      <c r="F27" s="75">
        <f t="shared" si="0"/>
        <v>0</v>
      </c>
    </row>
    <row r="28" spans="1:6" ht="91.5">
      <c r="A28" s="77" t="s">
        <v>53</v>
      </c>
      <c r="B28" s="163">
        <v>0</v>
      </c>
      <c r="C28" s="163">
        <v>0</v>
      </c>
      <c r="D28" s="78">
        <v>0</v>
      </c>
      <c r="E28" s="78">
        <f t="shared" si="1"/>
        <v>0</v>
      </c>
      <c r="F28" s="79">
        <f t="shared" si="0"/>
        <v>0</v>
      </c>
    </row>
    <row r="29" spans="1:6" ht="91.5">
      <c r="A29" s="80" t="s">
        <v>54</v>
      </c>
      <c r="B29" s="163">
        <v>0</v>
      </c>
      <c r="C29" s="163">
        <v>0</v>
      </c>
      <c r="D29" s="78">
        <v>0</v>
      </c>
      <c r="E29" s="78">
        <f t="shared" si="1"/>
        <v>0</v>
      </c>
      <c r="F29" s="79">
        <f t="shared" si="0"/>
        <v>0</v>
      </c>
    </row>
    <row r="30" spans="1:6" s="50" customFormat="1" ht="90">
      <c r="A30" s="76" t="s">
        <v>14</v>
      </c>
      <c r="B30" s="167">
        <f>B9+B8</f>
        <v>102783942.63</v>
      </c>
      <c r="C30" s="74">
        <f>C9+C8</f>
        <v>106361210</v>
      </c>
      <c r="D30" s="74">
        <f>D9+D8</f>
        <v>119601919</v>
      </c>
      <c r="E30" s="74">
        <f t="shared" si="1"/>
        <v>13240709</v>
      </c>
      <c r="F30" s="75">
        <f t="shared" si="0"/>
        <v>0.12448813810974885</v>
      </c>
    </row>
    <row r="31" spans="1:6" ht="91.5">
      <c r="A31" s="76"/>
      <c r="B31" s="171"/>
      <c r="C31" s="86"/>
      <c r="D31" s="86"/>
      <c r="E31" s="86"/>
      <c r="F31" s="87"/>
    </row>
    <row r="32" spans="1:6" s="50" customFormat="1" ht="90">
      <c r="A32" s="131" t="s">
        <v>194</v>
      </c>
      <c r="B32" s="170">
        <v>-1999628</v>
      </c>
      <c r="C32" s="120">
        <v>0</v>
      </c>
      <c r="D32" s="120">
        <v>0</v>
      </c>
      <c r="E32" s="120">
        <f>D32-C32</f>
        <v>0</v>
      </c>
      <c r="F32" s="132">
        <f>IF(ISERROR(E32/C32),0,(E32/C32))</f>
        <v>0</v>
      </c>
    </row>
    <row r="33" spans="1:6" ht="91.5">
      <c r="A33" s="82" t="s">
        <v>0</v>
      </c>
      <c r="B33" s="172"/>
      <c r="C33" s="159"/>
      <c r="D33" s="159"/>
      <c r="E33" s="159"/>
      <c r="F33" s="160"/>
    </row>
    <row r="34" spans="1:6" s="50" customFormat="1" ht="90">
      <c r="A34" s="131" t="s">
        <v>15</v>
      </c>
      <c r="B34" s="170">
        <v>996353.6</v>
      </c>
      <c r="C34" s="120">
        <v>29258745</v>
      </c>
      <c r="D34" s="120">
        <v>1299945</v>
      </c>
      <c r="E34" s="120">
        <f>D34-C34</f>
        <v>-27958800</v>
      </c>
      <c r="F34" s="136">
        <f>IF(ISERROR(E34/C34),0,(E34/C34))</f>
        <v>-0.9555707191132087</v>
      </c>
    </row>
    <row r="35" spans="1:6" s="50" customFormat="1" ht="90">
      <c r="A35" s="133" t="s">
        <v>0</v>
      </c>
      <c r="B35" s="173"/>
      <c r="C35" s="134"/>
      <c r="D35" s="134"/>
      <c r="E35" s="134"/>
      <c r="F35" s="135"/>
    </row>
    <row r="36" spans="1:6" s="50" customFormat="1" ht="90">
      <c r="A36" s="131" t="s">
        <v>56</v>
      </c>
      <c r="B36" s="170">
        <v>1073538.43</v>
      </c>
      <c r="C36" s="120">
        <v>1541380</v>
      </c>
      <c r="D36" s="120">
        <v>3066380</v>
      </c>
      <c r="E36" s="120">
        <f>D36-C36</f>
        <v>1525000</v>
      </c>
      <c r="F36" s="136">
        <f>IF(ISERROR(E36/C36),0,(E36/C36))</f>
        <v>0.9893731591171547</v>
      </c>
    </row>
    <row r="37" spans="1:6" s="50" customFormat="1" ht="90">
      <c r="A37" s="133" t="s">
        <v>0</v>
      </c>
      <c r="B37" s="173"/>
      <c r="C37" s="134"/>
      <c r="D37" s="134"/>
      <c r="E37" s="134"/>
      <c r="F37" s="135"/>
    </row>
    <row r="38" spans="1:6" s="50" customFormat="1" ht="90">
      <c r="A38" s="131" t="s">
        <v>16</v>
      </c>
      <c r="B38" s="170">
        <v>21124708.42</v>
      </c>
      <c r="C38" s="120">
        <v>28894242</v>
      </c>
      <c r="D38" s="120">
        <v>16792813</v>
      </c>
      <c r="E38" s="120">
        <f>D38-C38</f>
        <v>-12101429</v>
      </c>
      <c r="F38" s="136">
        <f>IF(ISERROR(E38/C38),0,(E38/C38))</f>
        <v>-0.4188180122530987</v>
      </c>
    </row>
    <row r="39" spans="1:6" s="50" customFormat="1" ht="90">
      <c r="A39" s="133"/>
      <c r="B39" s="173"/>
      <c r="C39" s="134"/>
      <c r="D39" s="134"/>
      <c r="E39" s="134"/>
      <c r="F39" s="135"/>
    </row>
    <row r="40" spans="1:6" s="50" customFormat="1" ht="90">
      <c r="A40" s="131" t="s">
        <v>17</v>
      </c>
      <c r="B40" s="170">
        <f>B38+B36+B34+B30+B32</f>
        <v>123978915.08</v>
      </c>
      <c r="C40" s="120">
        <f>C38+C36+C34+C30</f>
        <v>166055577</v>
      </c>
      <c r="D40" s="120">
        <f>D38+D36+D34+D30</f>
        <v>140761057</v>
      </c>
      <c r="E40" s="120">
        <f>D40-C40</f>
        <v>-25294520</v>
      </c>
      <c r="F40" s="136">
        <f>IF(ISERROR(E40/C40),0,(E40/C40))</f>
        <v>-0.1523256277023445</v>
      </c>
    </row>
    <row r="41" spans="1:6" ht="91.5">
      <c r="A41" s="146" t="s">
        <v>18</v>
      </c>
      <c r="B41" s="173"/>
      <c r="C41" s="134"/>
      <c r="D41" s="134"/>
      <c r="E41" s="134"/>
      <c r="F41" s="147"/>
    </row>
    <row r="42" spans="1:6" ht="91.5">
      <c r="A42" s="137" t="s">
        <v>19</v>
      </c>
      <c r="B42" s="174">
        <v>0</v>
      </c>
      <c r="C42" s="138">
        <v>0</v>
      </c>
      <c r="D42" s="138">
        <v>0</v>
      </c>
      <c r="E42" s="138">
        <f aca="true" t="shared" si="2" ref="E42:E49">D42-C42</f>
        <v>0</v>
      </c>
      <c r="F42" s="139">
        <f aca="true" t="shared" si="3" ref="F42:F55">IF(ISERROR(E42/C42),0,(E42/C42))</f>
        <v>0</v>
      </c>
    </row>
    <row r="43" spans="1:6" ht="91.5">
      <c r="A43" s="77" t="s">
        <v>20</v>
      </c>
      <c r="B43" s="163">
        <v>0</v>
      </c>
      <c r="C43" s="78">
        <v>0</v>
      </c>
      <c r="D43" s="78">
        <v>0</v>
      </c>
      <c r="E43" s="78">
        <f t="shared" si="2"/>
        <v>0</v>
      </c>
      <c r="F43" s="92">
        <f t="shared" si="3"/>
        <v>0</v>
      </c>
    </row>
    <row r="44" spans="1:6" ht="91.5">
      <c r="A44" s="80" t="s">
        <v>21</v>
      </c>
      <c r="B44" s="163">
        <v>0</v>
      </c>
      <c r="C44" s="78">
        <v>0</v>
      </c>
      <c r="D44" s="78">
        <v>0</v>
      </c>
      <c r="E44" s="78">
        <f t="shared" si="2"/>
        <v>0</v>
      </c>
      <c r="F44" s="90">
        <f t="shared" si="3"/>
        <v>0</v>
      </c>
    </row>
    <row r="45" spans="1:6" ht="91.5">
      <c r="A45" s="80" t="s">
        <v>49</v>
      </c>
      <c r="B45" s="163">
        <v>0</v>
      </c>
      <c r="C45" s="78">
        <v>0</v>
      </c>
      <c r="D45" s="78">
        <v>0</v>
      </c>
      <c r="E45" s="78">
        <f t="shared" si="2"/>
        <v>0</v>
      </c>
      <c r="F45" s="90">
        <f t="shared" si="3"/>
        <v>0</v>
      </c>
    </row>
    <row r="46" spans="1:6" ht="91.5">
      <c r="A46" s="80" t="s">
        <v>22</v>
      </c>
      <c r="B46" s="163">
        <v>0</v>
      </c>
      <c r="C46" s="78">
        <v>0</v>
      </c>
      <c r="D46" s="78">
        <v>0</v>
      </c>
      <c r="E46" s="78">
        <f t="shared" si="2"/>
        <v>0</v>
      </c>
      <c r="F46" s="90">
        <f t="shared" si="3"/>
        <v>0</v>
      </c>
    </row>
    <row r="47" spans="1:6" ht="91.5">
      <c r="A47" s="80" t="s">
        <v>23</v>
      </c>
      <c r="B47" s="163">
        <v>123978915</v>
      </c>
      <c r="C47" s="78">
        <v>166055577</v>
      </c>
      <c r="D47" s="78">
        <v>140761057</v>
      </c>
      <c r="E47" s="78">
        <f t="shared" si="2"/>
        <v>-25294520</v>
      </c>
      <c r="F47" s="90">
        <f t="shared" si="3"/>
        <v>-0.1523256277023445</v>
      </c>
    </row>
    <row r="48" spans="1:6" ht="91.5">
      <c r="A48" s="80" t="s">
        <v>24</v>
      </c>
      <c r="B48" s="163">
        <v>0</v>
      </c>
      <c r="C48" s="78">
        <v>0</v>
      </c>
      <c r="D48" s="78">
        <v>0</v>
      </c>
      <c r="E48" s="78">
        <f t="shared" si="2"/>
        <v>0</v>
      </c>
      <c r="F48" s="90">
        <f t="shared" si="3"/>
        <v>0</v>
      </c>
    </row>
    <row r="49" spans="1:6" ht="91.5">
      <c r="A49" s="80" t="s">
        <v>25</v>
      </c>
      <c r="B49" s="163">
        <v>0</v>
      </c>
      <c r="C49" s="78">
        <v>0</v>
      </c>
      <c r="D49" s="78">
        <v>0</v>
      </c>
      <c r="E49" s="78">
        <f t="shared" si="2"/>
        <v>0</v>
      </c>
      <c r="F49" s="90">
        <f t="shared" si="3"/>
        <v>0</v>
      </c>
    </row>
    <row r="50" spans="1:6" s="50" customFormat="1" ht="90">
      <c r="A50" s="76" t="s">
        <v>26</v>
      </c>
      <c r="B50" s="167">
        <f>SUM(B42:B49)</f>
        <v>123978915</v>
      </c>
      <c r="C50" s="74">
        <f>SUM(C42:C49)</f>
        <v>166055577</v>
      </c>
      <c r="D50" s="74">
        <f>SUM(D42:D49)</f>
        <v>140761057</v>
      </c>
      <c r="E50" s="74">
        <f aca="true" t="shared" si="4" ref="E50:E55">D50-C50</f>
        <v>-25294520</v>
      </c>
      <c r="F50" s="87">
        <f t="shared" si="3"/>
        <v>-0.1523256277023445</v>
      </c>
    </row>
    <row r="51" spans="1:6" ht="91.5">
      <c r="A51" s="140" t="s">
        <v>27</v>
      </c>
      <c r="B51" s="168">
        <v>0</v>
      </c>
      <c r="C51" s="129">
        <v>0</v>
      </c>
      <c r="D51" s="129">
        <v>0</v>
      </c>
      <c r="E51" s="129">
        <f t="shared" si="4"/>
        <v>0</v>
      </c>
      <c r="F51" s="90">
        <f t="shared" si="3"/>
        <v>0</v>
      </c>
    </row>
    <row r="52" spans="1:6" ht="91.5">
      <c r="A52" s="80" t="s">
        <v>28</v>
      </c>
      <c r="B52" s="163">
        <v>0</v>
      </c>
      <c r="C52" s="78">
        <v>0</v>
      </c>
      <c r="D52" s="78">
        <v>0</v>
      </c>
      <c r="E52" s="78">
        <f t="shared" si="4"/>
        <v>0</v>
      </c>
      <c r="F52" s="90">
        <f t="shared" si="3"/>
        <v>0</v>
      </c>
    </row>
    <row r="53" spans="1:6" ht="91.5">
      <c r="A53" s="80" t="s">
        <v>29</v>
      </c>
      <c r="B53" s="163">
        <v>0</v>
      </c>
      <c r="C53" s="78">
        <v>0</v>
      </c>
      <c r="D53" s="78">
        <v>0</v>
      </c>
      <c r="E53" s="78">
        <f t="shared" si="4"/>
        <v>0</v>
      </c>
      <c r="F53" s="90">
        <f t="shared" si="3"/>
        <v>0</v>
      </c>
    </row>
    <row r="54" spans="1:6" ht="91.5">
      <c r="A54" s="80" t="s">
        <v>30</v>
      </c>
      <c r="B54" s="163">
        <v>0</v>
      </c>
      <c r="C54" s="78">
        <v>0</v>
      </c>
      <c r="D54" s="78">
        <v>0</v>
      </c>
      <c r="E54" s="78">
        <f t="shared" si="4"/>
        <v>0</v>
      </c>
      <c r="F54" s="90">
        <f t="shared" si="3"/>
        <v>0</v>
      </c>
    </row>
    <row r="55" spans="1:6" s="50" customFormat="1" ht="90">
      <c r="A55" s="148" t="s">
        <v>31</v>
      </c>
      <c r="B55" s="167">
        <f>B54+B53+B52+B51+B50</f>
        <v>123978915</v>
      </c>
      <c r="C55" s="74">
        <f>C54+C53+C52+C51+C50</f>
        <v>166055577</v>
      </c>
      <c r="D55" s="74">
        <f>D54+D53+D52+D51+D50</f>
        <v>140761057</v>
      </c>
      <c r="E55" s="74">
        <f t="shared" si="4"/>
        <v>-25294520</v>
      </c>
      <c r="F55" s="161">
        <f t="shared" si="3"/>
        <v>-0.1523256277023445</v>
      </c>
    </row>
    <row r="56" spans="1:6" ht="91.5">
      <c r="A56" s="91" t="s">
        <v>32</v>
      </c>
      <c r="B56" s="175"/>
      <c r="C56" s="70"/>
      <c r="D56" s="70"/>
      <c r="E56" s="70"/>
      <c r="F56" s="71"/>
    </row>
    <row r="57" spans="1:6" ht="91.5">
      <c r="A57" s="77" t="s">
        <v>33</v>
      </c>
      <c r="B57" s="163">
        <v>3995159.08</v>
      </c>
      <c r="C57" s="163">
        <v>4925560.21</v>
      </c>
      <c r="D57" s="163">
        <f>6066752.2+375000</f>
        <v>6441752.2</v>
      </c>
      <c r="E57" s="78">
        <f>D57-C57</f>
        <v>1516191.9900000002</v>
      </c>
      <c r="F57" s="92">
        <f aca="true" t="shared" si="5" ref="F57:F74">IF(ISERROR(E57/C57),0,(E57/C57))</f>
        <v>0.30782122750662716</v>
      </c>
    </row>
    <row r="58" spans="1:6" ht="91.5">
      <c r="A58" s="80" t="s">
        <v>34</v>
      </c>
      <c r="B58" s="163">
        <v>74224.96</v>
      </c>
      <c r="C58" s="163">
        <v>113587</v>
      </c>
      <c r="D58" s="163">
        <f>187101+0</f>
        <v>187101</v>
      </c>
      <c r="E58" s="78">
        <f>D58-C58</f>
        <v>73514</v>
      </c>
      <c r="F58" s="90">
        <f t="shared" si="5"/>
        <v>0.6472043455677147</v>
      </c>
    </row>
    <row r="59" spans="1:6" ht="91.5">
      <c r="A59" s="80" t="s">
        <v>35</v>
      </c>
      <c r="B59" s="163">
        <v>1124869.3</v>
      </c>
      <c r="C59" s="163">
        <v>1347435.05</v>
      </c>
      <c r="D59" s="163">
        <f>93751+1724791.28</f>
        <v>1818542.28</v>
      </c>
      <c r="E59" s="78">
        <f>D59-C59</f>
        <v>471107.23</v>
      </c>
      <c r="F59" s="90">
        <f t="shared" si="5"/>
        <v>0.3496326075234572</v>
      </c>
    </row>
    <row r="60" spans="1:6" ht="91.5">
      <c r="A60" s="93" t="s">
        <v>36</v>
      </c>
      <c r="B60" s="164">
        <f>B59+B58+B57</f>
        <v>5194253.34</v>
      </c>
      <c r="C60" s="164">
        <f>SUM(C57:C59)</f>
        <v>6386582.26</v>
      </c>
      <c r="D60" s="164">
        <f>SUM(D57:D59)</f>
        <v>8447395.48</v>
      </c>
      <c r="E60" s="96">
        <f aca="true" t="shared" si="6" ref="E60:E74">D60-C60</f>
        <v>2060813.2200000007</v>
      </c>
      <c r="F60" s="97">
        <f t="shared" si="5"/>
        <v>0.322678568302039</v>
      </c>
    </row>
    <row r="61" spans="1:6" ht="91.5">
      <c r="A61" s="80" t="s">
        <v>37</v>
      </c>
      <c r="B61" s="163">
        <v>166506.25</v>
      </c>
      <c r="C61" s="163">
        <v>184962.52</v>
      </c>
      <c r="D61" s="163">
        <f>263580</f>
        <v>263580</v>
      </c>
      <c r="E61" s="78">
        <f t="shared" si="6"/>
        <v>78617.48000000001</v>
      </c>
      <c r="F61" s="90">
        <f t="shared" si="5"/>
        <v>0.4250454632646658</v>
      </c>
    </row>
    <row r="62" spans="1:6" ht="91.5">
      <c r="A62" s="80" t="s">
        <v>38</v>
      </c>
      <c r="B62" s="163">
        <v>2720764.17</v>
      </c>
      <c r="C62" s="163">
        <v>2802386.65</v>
      </c>
      <c r="D62" s="163">
        <f>3489943.41</f>
        <v>3489943.41</v>
      </c>
      <c r="E62" s="78">
        <f t="shared" si="6"/>
        <v>687556.7600000002</v>
      </c>
      <c r="F62" s="90">
        <f t="shared" si="5"/>
        <v>0.2453468581860395</v>
      </c>
    </row>
    <row r="63" spans="1:6" ht="91.5">
      <c r="A63" s="80" t="s">
        <v>39</v>
      </c>
      <c r="B63" s="163">
        <v>94685.63</v>
      </c>
      <c r="C63" s="163">
        <v>87372</v>
      </c>
      <c r="D63" s="163">
        <f>101806.07</f>
        <v>101806.07</v>
      </c>
      <c r="E63" s="78">
        <f t="shared" si="6"/>
        <v>14434.070000000007</v>
      </c>
      <c r="F63" s="90">
        <f t="shared" si="5"/>
        <v>0.16520246760976065</v>
      </c>
    </row>
    <row r="64" spans="1:6" ht="91.5">
      <c r="A64" s="76" t="s">
        <v>40</v>
      </c>
      <c r="B64" s="165">
        <f>B63+B62+B61</f>
        <v>2981956.05</v>
      </c>
      <c r="C64" s="165">
        <f>SUM(C61:C63)</f>
        <v>3074721.17</v>
      </c>
      <c r="D64" s="165">
        <f>SUM(D61:D63)</f>
        <v>3855329.48</v>
      </c>
      <c r="E64" s="83">
        <f t="shared" si="6"/>
        <v>780608.31</v>
      </c>
      <c r="F64" s="87">
        <f t="shared" si="5"/>
        <v>0.2538793818497695</v>
      </c>
    </row>
    <row r="65" spans="1:6" ht="91.5">
      <c r="A65" s="80" t="s">
        <v>41</v>
      </c>
      <c r="B65" s="163">
        <v>518698.54</v>
      </c>
      <c r="C65" s="163">
        <v>785370.94</v>
      </c>
      <c r="D65" s="163">
        <f>799564</f>
        <v>799564</v>
      </c>
      <c r="E65" s="78">
        <f t="shared" si="6"/>
        <v>14193.060000000056</v>
      </c>
      <c r="F65" s="90">
        <f t="shared" si="5"/>
        <v>0.018071791655545667</v>
      </c>
    </row>
    <row r="66" spans="1:6" ht="91.5">
      <c r="A66" s="80" t="s">
        <v>42</v>
      </c>
      <c r="B66" s="163">
        <f>110185755</f>
        <v>110185755</v>
      </c>
      <c r="C66" s="163">
        <f>176078457.8-25106532.5</f>
        <v>150971925.3</v>
      </c>
      <c r="D66" s="163">
        <f>146212231.3-521601-3896538-28126548+18178509.75-19182621.4+3897426.25</f>
        <v>116560858.9</v>
      </c>
      <c r="E66" s="78">
        <f t="shared" si="6"/>
        <v>-34411066.400000006</v>
      </c>
      <c r="F66" s="90">
        <f t="shared" si="5"/>
        <v>-0.22793023492030676</v>
      </c>
    </row>
    <row r="67" spans="1:6" ht="91.5">
      <c r="A67" s="80" t="s">
        <v>43</v>
      </c>
      <c r="B67" s="163">
        <v>0</v>
      </c>
      <c r="C67" s="163">
        <v>0</v>
      </c>
      <c r="D67" s="163">
        <v>0</v>
      </c>
      <c r="E67" s="78">
        <f t="shared" si="6"/>
        <v>0</v>
      </c>
      <c r="F67" s="90">
        <f t="shared" si="5"/>
        <v>0</v>
      </c>
    </row>
    <row r="68" spans="1:6" ht="91.5">
      <c r="A68" s="80" t="s">
        <v>44</v>
      </c>
      <c r="B68" s="163">
        <v>3344354.77</v>
      </c>
      <c r="C68" s="163">
        <v>4024260.01</v>
      </c>
      <c r="D68" s="163">
        <f>8801662.04</f>
        <v>8801662.04</v>
      </c>
      <c r="E68" s="78">
        <f t="shared" si="6"/>
        <v>4777402.029999999</v>
      </c>
      <c r="F68" s="90">
        <f t="shared" si="5"/>
        <v>1.1871504371309247</v>
      </c>
    </row>
    <row r="69" spans="1:6" ht="91.5">
      <c r="A69" s="76" t="s">
        <v>45</v>
      </c>
      <c r="B69" s="166">
        <f>B68+B66+B65</f>
        <v>114048808.31</v>
      </c>
      <c r="C69" s="166">
        <f>SUM(C65:C68)</f>
        <v>155781556.25</v>
      </c>
      <c r="D69" s="166">
        <f>SUM(D65:D68)</f>
        <v>126162084.94</v>
      </c>
      <c r="E69" s="85">
        <f t="shared" si="6"/>
        <v>-29619471.310000002</v>
      </c>
      <c r="F69" s="87">
        <f t="shared" si="5"/>
        <v>-0.19013464766307983</v>
      </c>
    </row>
    <row r="70" spans="1:6" ht="91.5">
      <c r="A70" s="80" t="s">
        <v>57</v>
      </c>
      <c r="B70" s="163">
        <f>872635.99+881261.8</f>
        <v>1753897.79</v>
      </c>
      <c r="C70" s="163">
        <v>812717.35</v>
      </c>
      <c r="D70" s="163">
        <f>2290695.11</f>
        <v>2290695.11</v>
      </c>
      <c r="E70" s="78">
        <f t="shared" si="6"/>
        <v>1477977.7599999998</v>
      </c>
      <c r="F70" s="90">
        <f t="shared" si="5"/>
        <v>1.8185630711587488</v>
      </c>
    </row>
    <row r="71" spans="1:6" ht="91.5">
      <c r="A71" s="80" t="s">
        <v>46</v>
      </c>
      <c r="B71" s="163">
        <v>0</v>
      </c>
      <c r="C71" s="163">
        <v>0</v>
      </c>
      <c r="D71" s="163">
        <v>5552</v>
      </c>
      <c r="E71" s="78">
        <f t="shared" si="6"/>
        <v>5552</v>
      </c>
      <c r="F71" s="90">
        <f t="shared" si="5"/>
        <v>0</v>
      </c>
    </row>
    <row r="72" spans="1:6" ht="91.5">
      <c r="A72" s="98" t="s">
        <v>47</v>
      </c>
      <c r="B72" s="163">
        <v>0</v>
      </c>
      <c r="C72" s="163">
        <v>0</v>
      </c>
      <c r="D72" s="163">
        <v>0</v>
      </c>
      <c r="E72" s="78">
        <f t="shared" si="6"/>
        <v>0</v>
      </c>
      <c r="F72" s="90">
        <f t="shared" si="5"/>
        <v>0</v>
      </c>
    </row>
    <row r="73" spans="1:6" ht="91.5">
      <c r="A73" s="99" t="s">
        <v>48</v>
      </c>
      <c r="B73" s="166">
        <f>B72+B71+B70</f>
        <v>1753897.79</v>
      </c>
      <c r="C73" s="166">
        <f>SUM(C70:C72)</f>
        <v>812717.35</v>
      </c>
      <c r="D73" s="166">
        <f>SUM(D70:D72)</f>
        <v>2296247.11</v>
      </c>
      <c r="E73" s="85">
        <f t="shared" si="6"/>
        <v>1483529.7599999998</v>
      </c>
      <c r="F73" s="95">
        <f t="shared" si="5"/>
        <v>1.8253944744750432</v>
      </c>
    </row>
    <row r="74" spans="1:6" ht="91.5">
      <c r="A74" s="94" t="s">
        <v>31</v>
      </c>
      <c r="B74" s="166">
        <f>B73+B69+B64+B60</f>
        <v>123978915.49000001</v>
      </c>
      <c r="C74" s="166">
        <f>C73+C69+C64+C60</f>
        <v>166055577.02999997</v>
      </c>
      <c r="D74" s="166">
        <f>D73+D69+D64+D60</f>
        <v>140761057.01</v>
      </c>
      <c r="E74" s="85">
        <f t="shared" si="6"/>
        <v>-25294520.01999998</v>
      </c>
      <c r="F74" s="95">
        <f t="shared" si="5"/>
        <v>-0.1523256277952665</v>
      </c>
    </row>
    <row r="75" ht="91.5">
      <c r="A75" s="56" t="s">
        <v>186</v>
      </c>
    </row>
    <row r="76" ht="91.5">
      <c r="F76" s="100"/>
    </row>
    <row r="77" spans="1:6" ht="91.5">
      <c r="A77" s="50"/>
      <c r="F77" s="100"/>
    </row>
    <row r="78" ht="91.5"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OutlineSymbols="0" zoomScale="30" zoomScaleNormal="30" zoomScalePageLayoutView="0" workbookViewId="0" topLeftCell="A13">
      <selection activeCell="B19" sqref="B19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52"/>
      <c r="D1" s="54" t="s">
        <v>6</v>
      </c>
      <c r="E1" s="55" t="s">
        <v>81</v>
      </c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f>SUM('LATECH-UD'!B8,'ULL-UD'!B8,'ULM-UD'!B8,'SLU-UD'!B8,'Nicholls-UD'!B8,'MCN-UD'!B8,'NSU-UD'!B8,'ULSBOS-UD'!B8,'GRAM-UD'!B8)</f>
        <v>333298244</v>
      </c>
      <c r="C8" s="74">
        <f>SUM('LATECH-UD'!C8,'ULL-UD'!C8,'ULM-UD'!C8,'SLU-UD'!C8,'Nicholls-UD'!C8,'MCN-UD'!C8,'NSU-UD'!C8,'ULSBOS-UD'!C8,'GRAM-UD'!C8)</f>
        <v>333298244</v>
      </c>
      <c r="D8" s="74">
        <f>SUM('LATECH-UD'!D8,'ULL-UD'!D8,'ULM-UD'!D8,'SLU-UD'!D8,'Nicholls-UD'!D8,'MCN-UD'!D8,'NSU-UD'!D8,'ULSBOS-UD'!D8,'GRAM-UD'!D8)</f>
        <v>425944829</v>
      </c>
      <c r="E8" s="74">
        <f aca="true" t="shared" si="0" ref="E8:E58">D8-C8</f>
        <v>92646585</v>
      </c>
      <c r="F8" s="75">
        <f>E8/C8</f>
        <v>0.2779690162424018</v>
      </c>
    </row>
    <row r="9" spans="1:6" ht="91.5">
      <c r="A9" s="76" t="s">
        <v>60</v>
      </c>
      <c r="B9" s="74">
        <f>B10+B11+B12+B13+B14+B15+B16+B17+B18+B19+B20+B21+B22+B23</f>
        <v>20045331</v>
      </c>
      <c r="C9" s="74">
        <f>C10+C11+C12+C13+C14+C15+C16+C17+C18+C19+C20+C21+C22+C23</f>
        <v>20045331</v>
      </c>
      <c r="D9" s="74">
        <f>D10+D11+D12+D13+D14+D15+D16+D17+D18+D19+D20+D21+D22+D23</f>
        <v>15665062</v>
      </c>
      <c r="E9" s="74">
        <f t="shared" si="0"/>
        <v>-4380269</v>
      </c>
      <c r="F9" s="75">
        <f>E9/C9</f>
        <v>-0.21851816764711943</v>
      </c>
    </row>
    <row r="10" spans="1:6" ht="91.5">
      <c r="A10" s="77" t="s">
        <v>61</v>
      </c>
      <c r="B10" s="78">
        <f>SUM('LATECH-UD'!B10,'ULL-UD'!B10,'ULM-UD'!B10,'SLU-UD'!B10,'Nicholls-UD'!B10,'MCN-UD'!B10,'NSU-UD'!B10,'ULSBOS-UD'!B10,'GRAM-UD'!B10)</f>
        <v>3510440</v>
      </c>
      <c r="C10" s="78">
        <f>SUM('LATECH-UD'!C10,'ULL-UD'!C10,'ULM-UD'!C10,'SLU-UD'!C10,'Nicholls-UD'!C10,'MCN-UD'!C10,'NSU-UD'!C10,'ULSBOS-UD'!C10,'GRAM-UD'!C10)</f>
        <v>3510440</v>
      </c>
      <c r="D10" s="78">
        <f>SUM('LATECH-UD'!D10,'ULL-UD'!D10,'ULM-UD'!D10,'SLU-UD'!D10,'Nicholls-UD'!D10,'MCN-UD'!D10,'NSU-UD'!D10,'ULSBOS-UD'!D10,'GRAM-UD'!D10)</f>
        <v>0</v>
      </c>
      <c r="E10" s="78">
        <f t="shared" si="0"/>
        <v>-3510440</v>
      </c>
      <c r="F10" s="79">
        <f>E10/C10</f>
        <v>-1</v>
      </c>
    </row>
    <row r="11" spans="1:6" ht="91.5">
      <c r="A11" s="80" t="s">
        <v>62</v>
      </c>
      <c r="B11" s="78">
        <f>SUM('LATECH-UD'!B11,'ULL-UD'!B11,'ULM-UD'!B11,'SLU-UD'!B11,'Nicholls-UD'!B11,'MCN-UD'!B11,'NSU-UD'!B11,'ULSBOS-UD'!B11,'GRAM-UD'!B11)</f>
        <v>15600929</v>
      </c>
      <c r="C11" s="78">
        <f>SUM('LATECH-UD'!C11,'ULL-UD'!C11,'ULM-UD'!C11,'SLU-UD'!C11,'Nicholls-UD'!C11,'MCN-UD'!C11,'NSU-UD'!C11,'ULSBOS-UD'!C11,'GRAM-UD'!C11)</f>
        <v>15600929</v>
      </c>
      <c r="D11" s="78">
        <f>SUM('LATECH-UD'!D11,'ULL-UD'!D11,'ULM-UD'!D11,'SLU-UD'!D11,'Nicholls-UD'!D11,'MCN-UD'!D11,'NSU-UD'!D11,'ULSBOS-UD'!D11,'GRAM-UD'!D11)</f>
        <v>15113822</v>
      </c>
      <c r="E11" s="78">
        <f t="shared" si="0"/>
        <v>-487107</v>
      </c>
      <c r="F11" s="79">
        <f>E11/C11</f>
        <v>-0.031222948325705477</v>
      </c>
    </row>
    <row r="12" spans="1:6" ht="91.5">
      <c r="A12" s="80" t="s">
        <v>65</v>
      </c>
      <c r="B12" s="78">
        <f>'LATECH-UD'!B12+'ULL-UD'!B12+'Nicholls-UD'!B12+'MCN-UD'!B12+'NSU-UD'!B12+'GRAM-UD'!B12</f>
        <v>0</v>
      </c>
      <c r="C12" s="78">
        <f>'LATECH-UD'!C12+'ULL-UD'!C12+'Nicholls-UD'!C12+'MCN-UD'!C12+'NSU-UD'!C12+'GRAM-UD'!C12</f>
        <v>0</v>
      </c>
      <c r="D12" s="78">
        <f>'LATECH-UD'!D12+'ULL-UD'!D12+'Nicholls-UD'!D12+'MCN-UD'!D12+'NSU-UD'!D12+'GRAM-UD'!D12</f>
        <v>0</v>
      </c>
      <c r="E12" s="78">
        <f t="shared" si="0"/>
        <v>0</v>
      </c>
      <c r="F12" s="79">
        <v>0</v>
      </c>
    </row>
    <row r="13" spans="1:6" ht="91.5">
      <c r="A13" s="80" t="s">
        <v>66</v>
      </c>
      <c r="B13" s="78">
        <f>'LATECH-UD'!B13+'ULL-UD'!B13+'ULM-UD'!B13+'Nicholls-UD'!B13+'MCN-UD'!B13+'NSU-UD'!B13+'GRAM-UD'!B13</f>
        <v>350464</v>
      </c>
      <c r="C13" s="78">
        <f>'LATECH-UD'!C13+'ULL-UD'!C13+'ULM-UD'!C13+'Nicholls-UD'!C13+'MCN-UD'!C13+'NSU-UD'!C13+'GRAM-UD'!C13</f>
        <v>350464</v>
      </c>
      <c r="D13" s="78">
        <f>'LATECH-UD'!D13+'ULL-UD'!D13+'ULM-UD'!D13+'Nicholls-UD'!D13+'MCN-UD'!D13+'NSU-UD'!D13+'GRAM-UD'!D13</f>
        <v>551240</v>
      </c>
      <c r="E13" s="78">
        <f t="shared" si="0"/>
        <v>200776</v>
      </c>
      <c r="F13" s="79">
        <f>E13/C13</f>
        <v>0.57288623082542</v>
      </c>
    </row>
    <row r="14" spans="1:6" ht="91.5">
      <c r="A14" s="80" t="s">
        <v>67</v>
      </c>
      <c r="B14" s="78">
        <f>'LATECH-UD'!B14+'ULL-UD'!B14+'ULM-UD'!B14+'Nicholls-UD'!B14+'MCN-UD'!B14+'NSU-UD'!B14+'GRAM-UD'!B14</f>
        <v>0</v>
      </c>
      <c r="C14" s="78">
        <f>'LATECH-UD'!C14+'ULL-UD'!C14+'ULM-UD'!C14+'Nicholls-UD'!C14+'MCN-UD'!C14+'NSU-UD'!C14+'GRAM-UD'!C14</f>
        <v>0</v>
      </c>
      <c r="D14" s="78">
        <f>'LATECH-UD'!D14+'ULL-UD'!D14+'ULM-UD'!D14+'Nicholls-UD'!D14+'MCN-UD'!D14+'NSU-UD'!D14+'GRAM-UD'!D14</f>
        <v>0</v>
      </c>
      <c r="E14" s="78">
        <f t="shared" si="0"/>
        <v>0</v>
      </c>
      <c r="F14" s="79">
        <v>0</v>
      </c>
    </row>
    <row r="15" spans="1:6" ht="91.5">
      <c r="A15" s="80" t="s">
        <v>74</v>
      </c>
      <c r="B15" s="78">
        <f>'LATECH-UD'!B15+'ULL-UD'!B15+'ULM-UD'!B15+'Nicholls-UD'!B15+'MCN-UD'!B15+'NSU-UD'!B15+'GRAM-UD'!B15</f>
        <v>0</v>
      </c>
      <c r="C15" s="78">
        <f>'LATECH-UD'!C15+'ULL-UD'!C15+'ULM-UD'!C15+'Nicholls-UD'!C15+'MCN-UD'!C15+'NSU-UD'!C15+'GRAM-UD'!C15</f>
        <v>0</v>
      </c>
      <c r="D15" s="78">
        <f>'LATECH-UD'!D15+'ULL-UD'!D15+'ULM-UD'!D15+'Nicholls-UD'!D15+'MCN-UD'!D15+'NSU-UD'!D15+'GRAM-UD'!D15</f>
        <v>0</v>
      </c>
      <c r="E15" s="78">
        <f t="shared" si="0"/>
        <v>0</v>
      </c>
      <c r="F15" s="79">
        <v>0</v>
      </c>
    </row>
    <row r="16" spans="1:6" ht="91.5">
      <c r="A16" s="80" t="s">
        <v>63</v>
      </c>
      <c r="B16" s="78">
        <f>'LATECH-UD'!B16+'ULL-UD'!B16+'ULM-UD'!B16+'Nicholls-UD'!B16+'MCN-UD'!B16+'NSU-UD'!B16+'GRAM-UD'!B16</f>
        <v>0</v>
      </c>
      <c r="C16" s="78">
        <f>'LATECH-UD'!C16+'ULL-UD'!C16+'ULM-UD'!C16+'Nicholls-UD'!C16+'MCN-UD'!C16+'NSU-UD'!C16+'GRAM-UD'!C16</f>
        <v>0</v>
      </c>
      <c r="D16" s="78">
        <f>'LATECH-UD'!D16+'ULL-UD'!D16+'ULM-UD'!D16+'Nicholls-UD'!D16+'MCN-UD'!D16+'NSU-UD'!D16+'GRAM-UD'!D16</f>
        <v>0</v>
      </c>
      <c r="E16" s="78">
        <f t="shared" si="0"/>
        <v>0</v>
      </c>
      <c r="F16" s="79">
        <v>0</v>
      </c>
    </row>
    <row r="17" spans="1:6" ht="91.5">
      <c r="A17" s="80" t="s">
        <v>64</v>
      </c>
      <c r="B17" s="78">
        <f>'LATECH-UD'!B17+'ULL-UD'!B17+'ULM-UD'!B17+'Nicholls-UD'!B17+'MCN-UD'!B17+'NSU-UD'!B17+'GRAM-UD'!B17</f>
        <v>0</v>
      </c>
      <c r="C17" s="78">
        <f>'LATECH-UD'!C17+'ULL-UD'!C17+'ULM-UD'!C17+'Nicholls-UD'!C17+'MCN-UD'!C17+'NSU-UD'!C17+'GRAM-UD'!C17</f>
        <v>0</v>
      </c>
      <c r="D17" s="78">
        <f>'LATECH-UD'!D17+'ULL-UD'!D17+'ULM-UD'!D17+'Nicholls-UD'!D17+'MCN-UD'!D17+'NSU-UD'!D17+'GRAM-UD'!D17</f>
        <v>0</v>
      </c>
      <c r="E17" s="78">
        <f t="shared" si="0"/>
        <v>0</v>
      </c>
      <c r="F17" s="79">
        <v>0</v>
      </c>
    </row>
    <row r="18" spans="1:6" ht="91.5">
      <c r="A18" s="80" t="s">
        <v>73</v>
      </c>
      <c r="B18" s="78">
        <f>'LATECH-UD'!B18+'ULL-UD'!B18+'ULM-UD'!B18+'Nicholls-UD'!B18+'NSU-UD'!B18+'GRAM-UD'!B18</f>
        <v>0</v>
      </c>
      <c r="C18" s="78">
        <f>'LATECH-UD'!C18+'ULL-UD'!C18+'ULM-UD'!C18+'Nicholls-UD'!C18+'NSU-UD'!C18+'GRAM-UD'!C18</f>
        <v>0</v>
      </c>
      <c r="D18" s="78">
        <f>'LATECH-UD'!D18+'ULL-UD'!D18+'ULM-UD'!D18+'Nicholls-UD'!D18+'NSU-UD'!D18+'GRAM-UD'!D18</f>
        <v>0</v>
      </c>
      <c r="E18" s="78">
        <f t="shared" si="0"/>
        <v>0</v>
      </c>
      <c r="F18" s="79">
        <v>0</v>
      </c>
    </row>
    <row r="19" spans="1:6" ht="91.5">
      <c r="A19" s="80" t="s">
        <v>96</v>
      </c>
      <c r="B19" s="78">
        <f>'LATECH-UD'!B19+'ULL-UD'!B19+'SLU-UD'!B19+'MCN-UD'!B19+'NSU-UD'!B19</f>
        <v>583498</v>
      </c>
      <c r="C19" s="78">
        <f>'LATECH-UD'!C19+'ULL-UD'!C19+'SLU-UD'!C19+'MCN-UD'!C19+'NSU-UD'!C19</f>
        <v>583498</v>
      </c>
      <c r="D19" s="78">
        <f>'LATECH-UD'!D19+'ULL-UD'!D19+'SLU-UD'!D19+'MCN-UD'!D19+'NSU-UD'!D19</f>
        <v>0</v>
      </c>
      <c r="E19" s="78">
        <f t="shared" si="0"/>
        <v>-583498</v>
      </c>
      <c r="F19" s="79">
        <f>E19/C19</f>
        <v>-1</v>
      </c>
    </row>
    <row r="20" spans="1:6" ht="91.5">
      <c r="A20" s="80" t="s">
        <v>68</v>
      </c>
      <c r="B20" s="78">
        <f>'LATECH-UD'!B20+'ULL-UD'!B20+'ULM-UD'!B20+'SLU-UD'!B20+'Nicholls-UD'!B20+'MCN-UD'!B20+'NSU-UD'!B20+'ULSBOS-UD'!B20+'GRAM-UD'!B20</f>
        <v>0</v>
      </c>
      <c r="C20" s="78">
        <f>'LATECH-UD'!C20+'ULL-UD'!C20+'ULM-UD'!C20+'SLU-UD'!C20+'Nicholls-UD'!C20+'MCN-UD'!C20+'NSU-UD'!C20+'ULSBOS-UD'!C20+'GRAM-UD'!C20</f>
        <v>0</v>
      </c>
      <c r="D20" s="78">
        <f>'LATECH-UD'!D20+'ULL-UD'!D20+'ULM-UD'!D20+'SLU-UD'!D20+'Nicholls-UD'!D20+'MCN-UD'!D20+'NSU-UD'!D20+'ULSBOS-UD'!D20+'GRAM-UD'!D20</f>
        <v>0</v>
      </c>
      <c r="E20" s="78">
        <f t="shared" si="0"/>
        <v>0</v>
      </c>
      <c r="F20" s="79">
        <v>0</v>
      </c>
    </row>
    <row r="21" spans="1:6" ht="91.5">
      <c r="A21" s="80" t="s">
        <v>69</v>
      </c>
      <c r="B21" s="78">
        <f>'ULM-UD'!B21+'Nicholls-UD'!B21</f>
        <v>0</v>
      </c>
      <c r="C21" s="78">
        <f>'ULM-UD'!C21+'Nicholls-UD'!C21</f>
        <v>0</v>
      </c>
      <c r="D21" s="78">
        <f>'ULM-UD'!D21+'Nicholls-UD'!D21</f>
        <v>0</v>
      </c>
      <c r="E21" s="78">
        <f t="shared" si="0"/>
        <v>0</v>
      </c>
      <c r="F21" s="79">
        <v>0</v>
      </c>
    </row>
    <row r="22" spans="1:6" ht="91.5">
      <c r="A22" s="81" t="s">
        <v>70</v>
      </c>
      <c r="B22" s="78">
        <f>SUM('LATECH-UD'!B22,'ULL-UD'!B22,'SLU-UD'!B22,'Nicholls-UD'!B22,'MCN-UD'!B22,'ULSBOS-UD'!B22,'GRAM-UD'!B22)</f>
        <v>0</v>
      </c>
      <c r="C22" s="78">
        <f>SUM('LATECH-UD'!C22,'ULL-UD'!C22,'SLU-UD'!C22,'Nicholls-UD'!C22,'MCN-UD'!C22,'ULSBOS-UD'!C22,'GRAM-UD'!C22)</f>
        <v>0</v>
      </c>
      <c r="D22" s="78">
        <f>SUM('LATECH-UD'!D22,'ULL-UD'!D22,'SLU-UD'!D22,'Nicholls-UD'!D22,'MCN-UD'!D22,'ULSBOS-UD'!D22,'GRAM-UD'!D22)</f>
        <v>0</v>
      </c>
      <c r="E22" s="78">
        <f t="shared" si="0"/>
        <v>0</v>
      </c>
      <c r="F22" s="79">
        <v>0</v>
      </c>
    </row>
    <row r="23" spans="1:6" ht="91.5">
      <c r="A23" s="130" t="s">
        <v>71</v>
      </c>
      <c r="B23" s="129">
        <f>SUM('LATECH-UD'!B23,'ULL-UD'!B23,'ULM-UD'!B23,'SLU-UD'!B23,'Nicholls-UD'!B23,'MCN-UD'!B23,'NSU-UD'!B23,'ULSBOS-UD'!B23,'GRAM-UD'!B23)</f>
        <v>0</v>
      </c>
      <c r="C23" s="129">
        <f>SUM('LATECH-UD'!C23,'ULL-UD'!C23,'ULM-UD'!C23,'SLU-UD'!C23,'Nicholls-UD'!C23,'MCN-UD'!C23,'NSU-UD'!C23,'ULSBOS-UD'!C23,'GRAM-UD'!C23)</f>
        <v>0</v>
      </c>
      <c r="D23" s="129">
        <f>SUM('LATECH-UD'!D23,'ULL-UD'!D23,'ULM-UD'!D23,'SLU-UD'!D23,'Nicholls-UD'!D23,'MCN-UD'!D23,'NSU-UD'!D23,'ULSBOS-UD'!D23,'GRAM-UD'!D23)</f>
        <v>0</v>
      </c>
      <c r="E23" s="129">
        <f t="shared" si="0"/>
        <v>0</v>
      </c>
      <c r="F23" s="157">
        <v>0</v>
      </c>
    </row>
    <row r="24" spans="1:6" ht="91.5">
      <c r="A24" s="158" t="s">
        <v>50</v>
      </c>
      <c r="B24" s="156">
        <f>SUM('LATECH-UD'!B24,'ULL-UD'!B24,'ULM-UD'!B24,'SLU-UD'!B24,'Nicholls-UD'!B24,'MCN-UD'!B24,'NSU-UD'!B24,'ULSBOS-UD'!B24,'GRAM-UD'!B24)</f>
        <v>0</v>
      </c>
      <c r="C24" s="74">
        <f>SUM('LATECH-UD'!C24,'ULL-UD'!C24,'ULM-UD'!C24,'SLU-UD'!C24,'Nicholls-UD'!C24,'MCN-UD'!C24,'NSU-UD'!C24,'ULSBOS-UD'!C24,'GRAM-UD'!C24)</f>
        <v>0</v>
      </c>
      <c r="D24" s="74">
        <f>SUM('LATECH-UD'!D24,'ULL-UD'!D24,'ULM-UD'!D24,'SLU-UD'!D24,'Nicholls-UD'!D24,'MCN-UD'!D24,'NSU-UD'!D24,'ULSBOS-UD'!D24,'GRAM-UD'!D24)</f>
        <v>0</v>
      </c>
      <c r="E24" s="74">
        <f aca="true" t="shared" si="1" ref="E24:E29">D24-C24</f>
        <v>0</v>
      </c>
      <c r="F24" s="75">
        <v>0</v>
      </c>
    </row>
    <row r="25" spans="1:6" ht="91.5">
      <c r="A25" s="77" t="s">
        <v>53</v>
      </c>
      <c r="B25" s="78">
        <f>SUM('LATECH-UD'!B25,'ULL-UD'!B25,'ULM-UD'!B25,'SLU-UD'!B25,'Nicholls-UD'!B25,'MCN-UD'!B25,'NSU-UD'!B25,'ULSBOS-UD'!B25,'GRAM-UD'!B25)</f>
        <v>0</v>
      </c>
      <c r="C25" s="78">
        <f>SUM('LATECH-UD'!C25,'ULL-UD'!C25,'ULM-UD'!C25,'SLU-UD'!C25,'Nicholls-UD'!C25,'MCN-UD'!C25,'NSU-UD'!C25,'ULSBOS-UD'!C25,'GRAM-UD'!C25)</f>
        <v>0</v>
      </c>
      <c r="D25" s="78">
        <f>SUM('LATECH-UD'!D25,'ULL-UD'!D25,'ULM-UD'!D25,'SLU-UD'!D25,'Nicholls-UD'!D25,'MCN-UD'!D25,'NSU-UD'!D25,'ULSBOS-UD'!D25,'GRAM-UD'!D25)</f>
        <v>0</v>
      </c>
      <c r="E25" s="78">
        <f t="shared" si="1"/>
        <v>0</v>
      </c>
      <c r="F25" s="79">
        <v>0</v>
      </c>
    </row>
    <row r="26" spans="1:6" ht="91.5">
      <c r="A26" s="76" t="s">
        <v>52</v>
      </c>
      <c r="B26" s="83">
        <f>SUM('LATECH-UD'!B26,'ULL-UD'!B26,'ULM-UD'!B26,'SLU-UD'!B26,'Nicholls-UD'!B26,'MCN-UD'!B26,'NSU-UD'!B26,'ULSBOS-UD'!B26,'GRAM-UD'!B26)</f>
        <v>0</v>
      </c>
      <c r="C26" s="83">
        <f>SUM('LATECH-UD'!C26,'ULL-UD'!C26,'ULM-UD'!C26,'SLU-UD'!C26,'Nicholls-UD'!C26,'MCN-UD'!C26,'NSU-UD'!C26,'ULSBOS-UD'!C26,'GRAM-UD'!C26)</f>
        <v>0</v>
      </c>
      <c r="D26" s="83">
        <f>SUM('LATECH-UD'!D26,'ULL-UD'!D26,'ULM-UD'!D26,'SLU-UD'!D26,'Nicholls-UD'!D26,'MCN-UD'!D26,'NSU-UD'!D26,'ULSBOS-UD'!D26,'GRAM-UD'!D26)</f>
        <v>0</v>
      </c>
      <c r="E26" s="83">
        <f t="shared" si="1"/>
        <v>0</v>
      </c>
      <c r="F26" s="75">
        <v>0</v>
      </c>
    </row>
    <row r="27" spans="1:6" ht="91.5">
      <c r="A27" s="77" t="s">
        <v>53</v>
      </c>
      <c r="B27" s="78">
        <f>SUM('LATECH-UD'!B27,'ULL-UD'!B27,'ULM-UD'!B27,'SLU-UD'!B27,'Nicholls-UD'!B27,'MCN-UD'!B27,'NSU-UD'!B27,'ULSBOS-UD'!B27,'GRAM-UD'!B27)</f>
        <v>0</v>
      </c>
      <c r="C27" s="78">
        <f>SUM('LATECH-UD'!C27,'ULL-UD'!C27,'ULM-UD'!C27,'SLU-UD'!C27,'Nicholls-UD'!C27,'MCN-UD'!C27,'NSU-UD'!C27,'ULSBOS-UD'!C27,'GRAM-UD'!C27)</f>
        <v>0</v>
      </c>
      <c r="D27" s="78">
        <f>SUM('LATECH-UD'!D27,'ULL-UD'!D27,'ULM-UD'!D27,'SLU-UD'!D27,'Nicholls-UD'!D27,'MCN-UD'!D27,'NSU-UD'!D27,'ULSBOS-UD'!D27,'GRAM-UD'!D27)</f>
        <v>0</v>
      </c>
      <c r="E27" s="78">
        <f t="shared" si="1"/>
        <v>0</v>
      </c>
      <c r="F27" s="79">
        <v>0</v>
      </c>
    </row>
    <row r="28" spans="1:6" ht="91.5">
      <c r="A28" s="80" t="s">
        <v>54</v>
      </c>
      <c r="B28" s="78">
        <f>SUM('LATECH-UD'!B28,'ULL-UD'!B28,'ULM-UD'!B28,'SLU-UD'!B28,'Nicholls-UD'!B28,'MCN-UD'!B28,'NSU-UD'!B28,'ULSBOS-UD'!B28,'GRAM-UD'!B28)</f>
        <v>0</v>
      </c>
      <c r="C28" s="78">
        <f>SUM('LATECH-UD'!C28,'ULL-UD'!C28,'ULM-UD'!C28,'SLU-UD'!C28,'Nicholls-UD'!C28,'MCN-UD'!C28,'NSU-UD'!C28,'ULSBOS-UD'!C28,'GRAM-UD'!C28)</f>
        <v>0</v>
      </c>
      <c r="D28" s="78">
        <f>SUM('LATECH-UD'!D28,'ULL-UD'!D28,'ULM-UD'!D28,'SLU-UD'!D28,'Nicholls-UD'!D28,'MCN-UD'!D28,'NSU-UD'!D28,'ULSBOS-UD'!D28,'GRAM-UD'!D28)</f>
        <v>0</v>
      </c>
      <c r="E28" s="78">
        <f t="shared" si="1"/>
        <v>0</v>
      </c>
      <c r="F28" s="79">
        <v>0</v>
      </c>
    </row>
    <row r="29" spans="1:6" s="126" customFormat="1" ht="90">
      <c r="A29" s="148" t="s">
        <v>14</v>
      </c>
      <c r="B29" s="74">
        <f>SUM('LATECH-UD'!B29,'ULL-UD'!B29,'ULM-UD'!B29,'SLU-UD'!B29,'Nicholls-UD'!B29,'MCN-UD'!B29,'NSU-UD'!B29,'ULSBOS-UD'!B29,'GRAM-UD'!B29)</f>
        <v>353343575</v>
      </c>
      <c r="C29" s="74">
        <f>SUM('LATECH-UD'!C29,'ULL-UD'!C29,'ULM-UD'!C29,'SLU-UD'!C29,'Nicholls-UD'!C29,'MCN-UD'!C29,'NSU-UD'!C29,'ULSBOS-UD'!C29,'GRAM-UD'!C29)</f>
        <v>353343575</v>
      </c>
      <c r="D29" s="74">
        <f>SUM('LATECH-UD'!D29,'ULL-UD'!D29,'ULM-UD'!D29,'SLU-UD'!D29,'Nicholls-UD'!D29,'MCN-UD'!D29,'NSU-UD'!D29,'ULSBOS-UD'!D29,'GRAM-UD'!D29)</f>
        <v>441609891</v>
      </c>
      <c r="E29" s="74">
        <f t="shared" si="1"/>
        <v>88266316</v>
      </c>
      <c r="F29" s="75">
        <v>0</v>
      </c>
    </row>
    <row r="30" spans="1:6" ht="91.5">
      <c r="A30" s="77"/>
      <c r="B30" s="88"/>
      <c r="C30" s="88"/>
      <c r="D30" s="88"/>
      <c r="E30" s="88"/>
      <c r="F30" s="145"/>
    </row>
    <row r="31" spans="1:6" ht="91.5">
      <c r="A31" s="131" t="s">
        <v>78</v>
      </c>
      <c r="B31" s="120">
        <f>SUM('LATECH-UD'!B31,'ULL-UD'!B31,'ULM-UD'!B31,'SLU-UD'!B31,'Nicholls-UD'!B31,'MCN-UD'!B31,'NSU-UD'!B31,'ULSBOS-UD'!B31,'GRAM-UD'!B31)</f>
        <v>-833097</v>
      </c>
      <c r="C31" s="120">
        <f>SUM('LATECH-UD'!C31,'ULL-UD'!C31,'ULM-UD'!C31,'SLU-UD'!C31,'Nicholls-UD'!C31,'MCN-UD'!C31,'NSU-UD'!C31,'ULSBOS-UD'!C31,'GRAM-UD'!C31)</f>
        <v>0</v>
      </c>
      <c r="D31" s="120">
        <f>SUM('LATECH-UD'!D31,'ULL-UD'!D31,'ULM-UD'!D31,'SLU-UD'!D31,'Nicholls-UD'!D31,'MCN-UD'!D31,'NSU-UD'!D31,'ULSBOS-UD'!D31,'GRAM-UD'!D31)</f>
        <v>0</v>
      </c>
      <c r="E31" s="120">
        <f t="shared" si="0"/>
        <v>0</v>
      </c>
      <c r="F31" s="132">
        <v>0</v>
      </c>
    </row>
    <row r="32" spans="1:6" ht="91.5">
      <c r="A32" s="133" t="s">
        <v>0</v>
      </c>
      <c r="B32" s="134"/>
      <c r="C32" s="134"/>
      <c r="D32" s="134"/>
      <c r="E32" s="134"/>
      <c r="F32" s="135"/>
    </row>
    <row r="33" spans="1:6" ht="91.5">
      <c r="A33" s="131" t="s">
        <v>15</v>
      </c>
      <c r="B33" s="120">
        <f>SUM('LATECH-UD'!B33,'ULL-UD'!B33,'ULM-UD'!B33,'SLU-UD'!B33,'Nicholls-UD'!B33,'MCN-UD'!B33,'NSU-UD'!B33,'ULSBOS-UD'!B33,'GRAM-UD'!B33)</f>
        <v>99858</v>
      </c>
      <c r="C33" s="120">
        <f>SUM('LATECH-UD'!C33,'ULL-UD'!C33,'ULM-UD'!C33,'SLU-UD'!C33,'Nicholls-UD'!C33,'MCN-UD'!C33,'NSU-UD'!C33,'ULSBOS-UD'!C33,'GRAM-UD'!C33)</f>
        <v>90500</v>
      </c>
      <c r="D33" s="120">
        <f>SUM('LATECH-UD'!D33,'ULL-UD'!D33,'ULM-UD'!D33,'SLU-UD'!D33,'Nicholls-UD'!D33,'MCN-UD'!D33,'NSU-UD'!D33,'ULSBOS-UD'!D33,'GRAM-UD'!D33)</f>
        <v>103091</v>
      </c>
      <c r="E33" s="120">
        <f t="shared" si="0"/>
        <v>12591</v>
      </c>
      <c r="F33" s="136">
        <f>E33/C33</f>
        <v>0.1391270718232044</v>
      </c>
    </row>
    <row r="34" spans="1:6" ht="91.5">
      <c r="A34" s="133" t="s">
        <v>0</v>
      </c>
      <c r="B34" s="134"/>
      <c r="C34" s="134"/>
      <c r="D34" s="134"/>
      <c r="E34" s="134"/>
      <c r="F34" s="135"/>
    </row>
    <row r="35" spans="1:6" ht="91.5">
      <c r="A35" s="128" t="s">
        <v>56</v>
      </c>
      <c r="B35" s="74">
        <f>SUM('LATECH-UD'!B35,'ULL-UD'!B35,'ULM-UD'!B35,'SLU-UD'!B35,'Nicholls-UD'!B35,'MCN-UD'!B35,'NSU-UD'!B35,'ULSBOS-UD'!B35,'GRAM-UD'!B35)</f>
        <v>253605529.42000002</v>
      </c>
      <c r="C35" s="74">
        <f>SUM('LATECH-UD'!C35,'ULL-UD'!C35,'ULM-UD'!C35,'SLU-UD'!C35,'Nicholls-UD'!C35,'MCN-UD'!C35,'NSU-UD'!C35,'ULSBOS-UD'!C35,'GRAM-UD'!C35)</f>
        <v>271385742</v>
      </c>
      <c r="D35" s="74">
        <f>SUM('LATECH-UD'!D35,'ULL-UD'!D35,'ULM-UD'!D35,'SLU-UD'!D35,'Nicholls-UD'!D35,'MCN-UD'!D35,'NSU-UD'!D35,'ULSBOS-UD'!D35,'GRAM-UD'!D35)</f>
        <v>270737860</v>
      </c>
      <c r="E35" s="74">
        <f t="shared" si="0"/>
        <v>-647882</v>
      </c>
      <c r="F35" s="75">
        <f>E35/C35</f>
        <v>-0.002387310384198445</v>
      </c>
    </row>
    <row r="36" spans="1:6" ht="91.5">
      <c r="A36" s="76" t="s">
        <v>0</v>
      </c>
      <c r="B36" s="86"/>
      <c r="C36" s="86"/>
      <c r="D36" s="86"/>
      <c r="E36" s="86"/>
      <c r="F36" s="87"/>
    </row>
    <row r="37" spans="1:6" ht="91.5">
      <c r="A37" s="131" t="s">
        <v>16</v>
      </c>
      <c r="B37" s="120">
        <f>SUM('LATECH-UD'!B37,'ULL-UD'!B37,'ULM-UD'!B37,'SLU-UD'!B37,'Nicholls-UD'!B37,'MCN-UD'!B37,'NSU-UD'!B37,'ULSBOS-UD'!B37,'GRAM-UD'!B37)</f>
        <v>0</v>
      </c>
      <c r="C37" s="120">
        <f>SUM('LATECH-UD'!C37,'ULL-UD'!C37,'ULM-UD'!C37,'SLU-UD'!C37,'Nicholls-UD'!C37,'MCN-UD'!C37,'NSU-UD'!C37,'ULSBOS-UD'!C37,'GRAM-UD'!C37)</f>
        <v>0</v>
      </c>
      <c r="D37" s="120">
        <f>SUM('LATECH-UD'!D37,'ULL-UD'!D37,'ULM-UD'!D37,'SLU-UD'!D37,'Nicholls-UD'!D37,'MCN-UD'!D37,'NSU-UD'!D37,'ULSBOS-UD'!D37,'GRAM-UD'!D37)</f>
        <v>0</v>
      </c>
      <c r="E37" s="120">
        <f t="shared" si="0"/>
        <v>0</v>
      </c>
      <c r="F37" s="136">
        <v>0</v>
      </c>
    </row>
    <row r="38" spans="1:6" ht="91.5">
      <c r="A38" s="133"/>
      <c r="B38" s="134"/>
      <c r="C38" s="134"/>
      <c r="D38" s="134"/>
      <c r="E38" s="134"/>
      <c r="F38" s="135"/>
    </row>
    <row r="39" spans="1:6" ht="91.5">
      <c r="A39" s="131" t="s">
        <v>17</v>
      </c>
      <c r="B39" s="120">
        <f>SUM('LATECH-UD'!B39,'ULL-UD'!B39,'ULM-UD'!B39,'SLU-UD'!B39,'Nicholls-UD'!B39,'MCN-UD'!B39,'NSU-UD'!B39,'ULSBOS-UD'!B39,'GRAM-UD'!B39)</f>
        <v>606215865.4200001</v>
      </c>
      <c r="C39" s="120">
        <f>SUM('LATECH-UD'!C39,'ULL-UD'!C39,'ULM-UD'!C39,'SLU-UD'!C39,'Nicholls-UD'!C39,'MCN-UD'!C39,'NSU-UD'!C39,'ULSBOS-UD'!C39,'GRAM-UD'!C39)</f>
        <v>624819817</v>
      </c>
      <c r="D39" s="120">
        <f>SUM('LATECH-UD'!D39,'ULL-UD'!D39,'ULM-UD'!D39,'SLU-UD'!D39,'Nicholls-UD'!D39,'MCN-UD'!D39,'NSU-UD'!D39,'ULSBOS-UD'!D39,'GRAM-UD'!D39)</f>
        <v>712450842</v>
      </c>
      <c r="E39" s="120">
        <f t="shared" si="0"/>
        <v>87631025</v>
      </c>
      <c r="F39" s="136">
        <f>E39/C39</f>
        <v>0.14025007308627024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19</v>
      </c>
      <c r="B41" s="138">
        <f>SUM('LATECH-UD'!B41,'ULL-UD'!B41,'ULM-UD'!B41,'SLU-UD'!B41,'Nicholls-UD'!B41,'MCN-UD'!B41,'NSU-UD'!B41,'ULSBOS-UD'!B41,'GRAM-UD'!B41)</f>
        <v>260470207.69</v>
      </c>
      <c r="C41" s="138">
        <f>SUM('LATECH-UD'!C41,'ULL-UD'!C41,'ULM-UD'!C41,'SLU-UD'!C41,'Nicholls-UD'!C41,'MCN-UD'!C41,'NSU-UD'!C41,'ULSBOS-UD'!C41,'GRAM-UD'!C41)</f>
        <v>278177282.2656</v>
      </c>
      <c r="D41" s="138">
        <f>SUM('LATECH-UD'!D41,'ULL-UD'!D41,'ULM-UD'!D41,'SLU-UD'!D41,'Nicholls-UD'!D41,'MCN-UD'!D41,'NSU-UD'!D41,'ULSBOS-UD'!D41,'GRAM-UD'!D41)</f>
        <v>321794412.91400003</v>
      </c>
      <c r="E41" s="138">
        <f t="shared" si="0"/>
        <v>43617130.64840001</v>
      </c>
      <c r="F41" s="139">
        <f>E41/C41</f>
        <v>0.15679616355858617</v>
      </c>
    </row>
    <row r="42" spans="1:6" ht="91.5">
      <c r="A42" s="77" t="s">
        <v>20</v>
      </c>
      <c r="B42" s="78">
        <f>SUM('LATECH-UD'!B42,'ULL-UD'!B42,'ULM-UD'!B42,'SLU-UD'!B42,'Nicholls-UD'!B42,'MCN-UD'!B42,'NSU-UD'!B42,'ULSBOS-UD'!B42,'GRAM-UD'!B42)</f>
        <v>31927366.09</v>
      </c>
      <c r="C42" s="78">
        <f>SUM('LATECH-UD'!C42,'ULL-UD'!C42,'ULM-UD'!C42,'SLU-UD'!C42,'Nicholls-UD'!C42,'MCN-UD'!C42,'NSU-UD'!C42,'ULSBOS-UD'!C42,'GRAM-UD'!C42)</f>
        <v>32854676</v>
      </c>
      <c r="D42" s="78">
        <f>SUM('LATECH-UD'!D42,'ULL-UD'!D42,'ULM-UD'!D42,'SLU-UD'!D42,'Nicholls-UD'!D42,'MCN-UD'!D42,'NSU-UD'!D42,'ULSBOS-UD'!D42,'GRAM-UD'!D42)</f>
        <v>33996415</v>
      </c>
      <c r="E42" s="78">
        <f t="shared" si="0"/>
        <v>1141739</v>
      </c>
      <c r="F42" s="92">
        <f>E42/C42</f>
        <v>0.034751187319576674</v>
      </c>
    </row>
    <row r="43" spans="1:6" ht="91.5">
      <c r="A43" s="80" t="s">
        <v>21</v>
      </c>
      <c r="B43" s="78">
        <f>SUM('LATECH-UD'!B43,'ULL-UD'!B43,'ULM-UD'!B43,'SLU-UD'!B43,'Nicholls-UD'!B43,'MCN-UD'!B43,'NSU-UD'!B43,'ULSBOS-UD'!B43,'GRAM-UD'!B43)</f>
        <v>3700975</v>
      </c>
      <c r="C43" s="78">
        <f>SUM('LATECH-UD'!C43,'ULL-UD'!C43,'ULM-UD'!C43,'SLU-UD'!C43,'Nicholls-UD'!C43,'MCN-UD'!C43,'NSU-UD'!C43,'ULSBOS-UD'!C43,'GRAM-UD'!C43)</f>
        <v>3887768</v>
      </c>
      <c r="D43" s="78">
        <f>SUM('LATECH-UD'!D43,'ULL-UD'!D43,'ULM-UD'!D43,'SLU-UD'!D43,'Nicholls-UD'!D43,'MCN-UD'!D43,'NSU-UD'!D43,'ULSBOS-UD'!D43,'GRAM-UD'!D43)</f>
        <v>4837364.42</v>
      </c>
      <c r="E43" s="78">
        <f t="shared" si="0"/>
        <v>949596.4199999999</v>
      </c>
      <c r="F43" s="90">
        <f aca="true" t="shared" si="2" ref="F43:F54">E43/C43</f>
        <v>0.24425233707361138</v>
      </c>
    </row>
    <row r="44" spans="1:6" ht="91.5">
      <c r="A44" s="80" t="s">
        <v>49</v>
      </c>
      <c r="B44" s="78">
        <f>SUM('LATECH-UD'!B44,'ULL-UD'!B44,'ULM-UD'!B44,'SLU-UD'!B44,'Nicholls-UD'!B44,'MCN-UD'!B44,'NSU-UD'!B44,'ULSBOS-UD'!B44,'GRAM-UD'!B44)</f>
        <v>55625476.56</v>
      </c>
      <c r="C44" s="78">
        <f>SUM('LATECH-UD'!C44,'ULL-UD'!C44,'ULM-UD'!C44,'SLU-UD'!C44,'Nicholls-UD'!C44,'MCN-UD'!C44,'NSU-UD'!C44,'ULSBOS-UD'!C44,'GRAM-UD'!C44)</f>
        <v>58515715.8288</v>
      </c>
      <c r="D44" s="78">
        <f>SUM('LATECH-UD'!D44,'ULL-UD'!D44,'ULM-UD'!D44,'SLU-UD'!D44,'Nicholls-UD'!D44,'MCN-UD'!D44,'NSU-UD'!D44,'ULSBOS-UD'!D44,'GRAM-UD'!D44)</f>
        <v>67778191.50230768</v>
      </c>
      <c r="E44" s="78">
        <f t="shared" si="0"/>
        <v>9262475.673507683</v>
      </c>
      <c r="F44" s="90">
        <f t="shared" si="2"/>
        <v>0.15829039331257602</v>
      </c>
    </row>
    <row r="45" spans="1:6" ht="91.5">
      <c r="A45" s="80" t="s">
        <v>22</v>
      </c>
      <c r="B45" s="78">
        <f>SUM('LATECH-UD'!B45,'ULL-UD'!B45,'ULM-UD'!B45,'SLU-UD'!B45,'Nicholls-UD'!B45,'MCN-UD'!B45,'NSU-UD'!B45,'ULSBOS-UD'!B45,'GRAM-UD'!B45)</f>
        <v>32982506.96</v>
      </c>
      <c r="C45" s="78">
        <f>SUM('LATECH-UD'!C45,'ULL-UD'!C45,'ULM-UD'!C45,'SLU-UD'!C45,'Nicholls-UD'!C45,'MCN-UD'!C45,'NSU-UD'!C45,'ULSBOS-UD'!C45,'GRAM-UD'!C45)</f>
        <v>33680326.816</v>
      </c>
      <c r="D45" s="78">
        <f>SUM('LATECH-UD'!D45,'ULL-UD'!D45,'ULM-UD'!D45,'SLU-UD'!D45,'Nicholls-UD'!D45,'MCN-UD'!D45,'NSU-UD'!D45,'ULSBOS-UD'!D45,'GRAM-UD'!D45)</f>
        <v>37953143.66</v>
      </c>
      <c r="E45" s="78">
        <f t="shared" si="0"/>
        <v>4272816.843999997</v>
      </c>
      <c r="F45" s="90">
        <f t="shared" si="2"/>
        <v>0.1268638771631567</v>
      </c>
    </row>
    <row r="46" spans="1:6" ht="91.5">
      <c r="A46" s="80" t="s">
        <v>23</v>
      </c>
      <c r="B46" s="78">
        <f>SUM('LATECH-UD'!B46,'ULL-UD'!B46,'ULM-UD'!B46,'SLU-UD'!B46,'Nicholls-UD'!B46,'MCN-UD'!B46,'NSU-UD'!B46,'ULSBOS-UD'!B46,'GRAM-UD'!B46)</f>
        <v>77968572.95</v>
      </c>
      <c r="C46" s="78">
        <f>SUM('LATECH-UD'!C46,'ULL-UD'!C46,'ULM-UD'!C46,'SLU-UD'!C46,'Nicholls-UD'!C46,'MCN-UD'!C46,'NSU-UD'!C46,'ULSBOS-UD'!C46,'GRAM-UD'!C46)</f>
        <v>76622327.8252</v>
      </c>
      <c r="D46" s="78">
        <f>SUM('LATECH-UD'!D46,'ULL-UD'!D46,'ULM-UD'!D46,'SLU-UD'!D46,'Nicholls-UD'!D46,'MCN-UD'!D46,'NSU-UD'!D46,'ULSBOS-UD'!D46,'GRAM-UD'!D46)</f>
        <v>87297917.28</v>
      </c>
      <c r="E46" s="78">
        <f t="shared" si="0"/>
        <v>10675589.454799995</v>
      </c>
      <c r="F46" s="90">
        <f t="shared" si="2"/>
        <v>0.13932739656715237</v>
      </c>
    </row>
    <row r="47" spans="1:6" ht="91.5">
      <c r="A47" s="80" t="s">
        <v>24</v>
      </c>
      <c r="B47" s="78">
        <f>SUM('LATECH-UD'!B47,'ULL-UD'!B47,'ULM-UD'!B47,'SLU-UD'!B47,'Nicholls-UD'!B47,'MCN-UD'!B47,'NSU-UD'!B47,'ULSBOS-UD'!B47,'GRAM-UD'!B47)</f>
        <v>36500370.85</v>
      </c>
      <c r="C47" s="78">
        <f>SUM('LATECH-UD'!C47,'ULL-UD'!C47,'ULM-UD'!C47,'SLU-UD'!C47,'Nicholls-UD'!C47,'MCN-UD'!C47,'NSU-UD'!C47,'ULSBOS-UD'!C47,'GRAM-UD'!C47)</f>
        <v>37498856</v>
      </c>
      <c r="D47" s="78">
        <f>SUM('LATECH-UD'!D47,'ULL-UD'!D47,'ULM-UD'!D47,'SLU-UD'!D47,'Nicholls-UD'!D47,'MCN-UD'!D47,'NSU-UD'!D47,'ULSBOS-UD'!D47,'GRAM-UD'!D47)</f>
        <v>41111244</v>
      </c>
      <c r="E47" s="78">
        <f t="shared" si="0"/>
        <v>3612388</v>
      </c>
      <c r="F47" s="90">
        <f t="shared" si="2"/>
        <v>0.09633328547409553</v>
      </c>
    </row>
    <row r="48" spans="1:6" ht="91.5">
      <c r="A48" s="80" t="s">
        <v>25</v>
      </c>
      <c r="B48" s="78">
        <f>SUM('LATECH-UD'!B48,'ULL-UD'!B48,'ULM-UD'!B48,'SLU-UD'!B48,'Nicholls-UD'!B48,'MCN-UD'!B48,'NSU-UD'!B48,'ULSBOS-UD'!B48,'GRAM-UD'!B48)</f>
        <v>76574701.25</v>
      </c>
      <c r="C48" s="78">
        <f>SUM('LATECH-UD'!C48,'ULL-UD'!C48,'ULM-UD'!C48,'SLU-UD'!C48,'Nicholls-UD'!C48,'MCN-UD'!C48,'NSU-UD'!C48,'ULSBOS-UD'!C48,'GRAM-UD'!C48)</f>
        <v>72345686.4244</v>
      </c>
      <c r="D48" s="78">
        <f>SUM('LATECH-UD'!D48,'ULL-UD'!D48,'ULM-UD'!D48,'SLU-UD'!D48,'Nicholls-UD'!D48,'MCN-UD'!D48,'NSU-UD'!D48,'ULSBOS-UD'!D48,'GRAM-UD'!D48)</f>
        <v>87215942.24000001</v>
      </c>
      <c r="E48" s="78">
        <f t="shared" si="0"/>
        <v>14870255.815600008</v>
      </c>
      <c r="F48" s="90">
        <f t="shared" si="2"/>
        <v>0.20554447059036712</v>
      </c>
    </row>
    <row r="49" spans="1:6" ht="91.5">
      <c r="A49" s="76" t="s">
        <v>26</v>
      </c>
      <c r="B49" s="74">
        <f>SUM(B41:B48)</f>
        <v>575750177.3499999</v>
      </c>
      <c r="C49" s="74">
        <f>SUM(C41:C48)</f>
        <v>593582639.1600001</v>
      </c>
      <c r="D49" s="74">
        <f>SUM(D41:D48)</f>
        <v>681984631.0163077</v>
      </c>
      <c r="E49" s="74">
        <f t="shared" si="0"/>
        <v>88401991.85630763</v>
      </c>
      <c r="F49" s="87">
        <f t="shared" si="2"/>
        <v>0.14892954413459333</v>
      </c>
    </row>
    <row r="50" spans="1:6" ht="91.5">
      <c r="A50" s="140" t="s">
        <v>27</v>
      </c>
      <c r="B50" s="129">
        <f>SUM('LATECH-UD'!B50,'ULL-UD'!B50,'ULM-UD'!B50,'SLU-UD'!B50,'Nicholls-UD'!B50,'MCN-UD'!B50,'NSU-UD'!B50,'ULSBOS-UD'!B50,'GRAM-UD'!B50)</f>
        <v>0</v>
      </c>
      <c r="C50" s="129">
        <f>SUM('LATECH-UD'!C50,'ULL-UD'!C50,'ULM-UD'!C50,'SLU-UD'!C50,'Nicholls-UD'!C50,'MCN-UD'!C50,'NSU-UD'!C50,'ULSBOS-UD'!C50,'GRAM-UD'!C50)</f>
        <v>0</v>
      </c>
      <c r="D50" s="129">
        <f>SUM('LATECH-UD'!D50,'ULL-UD'!D50,'ULM-UD'!D50,'SLU-UD'!D50,'Nicholls-UD'!D50,'MCN-UD'!D50,'NSU-UD'!D50,'ULSBOS-UD'!D50,'GRAM-UD'!D50)</f>
        <v>0</v>
      </c>
      <c r="E50" s="129">
        <f t="shared" si="0"/>
        <v>0</v>
      </c>
      <c r="F50" s="90">
        <v>0</v>
      </c>
    </row>
    <row r="51" spans="1:6" ht="91.5">
      <c r="A51" s="80" t="s">
        <v>28</v>
      </c>
      <c r="B51" s="78">
        <f>SUM('LATECH-UD'!B51,'ULL-UD'!B51,'ULM-UD'!B51,'SLU-UD'!B51,'Nicholls-UD'!B51,'MCN-UD'!B51,'NSU-UD'!B51,'ULSBOS-UD'!B51,'GRAM-UD'!B51)</f>
        <v>1740103.99</v>
      </c>
      <c r="C51" s="78">
        <f>SUM('LATECH-UD'!C51,'ULL-UD'!C51,'ULM-UD'!C51,'SLU-UD'!C51,'Nicholls-UD'!C51,'MCN-UD'!C51,'NSU-UD'!C51,'ULSBOS-UD'!C51,'GRAM-UD'!C51)</f>
        <v>1896020</v>
      </c>
      <c r="D51" s="78">
        <f>SUM('LATECH-UD'!D51,'ULL-UD'!D51,'ULM-UD'!D51,'SLU-UD'!D51,'Nicholls-UD'!D51,'MCN-UD'!D51,'NSU-UD'!D51,'ULSBOS-UD'!D51,'GRAM-UD'!D51)</f>
        <v>2213098</v>
      </c>
      <c r="E51" s="78">
        <f t="shared" si="0"/>
        <v>317078</v>
      </c>
      <c r="F51" s="90">
        <f t="shared" si="2"/>
        <v>0.16723346800139238</v>
      </c>
    </row>
    <row r="52" spans="1:6" ht="91.5">
      <c r="A52" s="80" t="s">
        <v>29</v>
      </c>
      <c r="B52" s="78">
        <f>SUM('LATECH-UD'!B52,'ULL-UD'!B52,'ULM-UD'!B52,'SLU-UD'!B52,'Nicholls-UD'!B52,'MCN-UD'!B52,'NSU-UD'!B52,'ULSBOS-UD'!B52,'GRAM-UD'!B52)</f>
        <v>23228070</v>
      </c>
      <c r="C52" s="78">
        <f>SUM('LATECH-UD'!C52,'ULL-UD'!C52,'ULM-UD'!C52,'SLU-UD'!C52,'Nicholls-UD'!C52,'MCN-UD'!C52,'NSU-UD'!C52,'ULSBOS-UD'!C52,'GRAM-UD'!C52)</f>
        <v>22565833</v>
      </c>
      <c r="D52" s="78">
        <f>SUM('LATECH-UD'!D52,'ULL-UD'!D52,'ULM-UD'!D52,'SLU-UD'!D52,'Nicholls-UD'!D52,'MCN-UD'!D52,'NSU-UD'!D52,'ULSBOS-UD'!D52,'GRAM-UD'!D52)</f>
        <v>27711813</v>
      </c>
      <c r="E52" s="78">
        <f t="shared" si="0"/>
        <v>5145980</v>
      </c>
      <c r="F52" s="90">
        <f t="shared" si="2"/>
        <v>0.22804298870775122</v>
      </c>
    </row>
    <row r="53" spans="1:6" ht="91.5">
      <c r="A53" s="80" t="s">
        <v>30</v>
      </c>
      <c r="B53" s="78">
        <f>SUM('LATECH-UD'!B53,'ULL-UD'!B53,'ULM-UD'!B53,'SLU-UD'!B53,'Nicholls-UD'!B53,'MCN-UD'!B53,'NSU-UD'!B53,'ULSBOS-UD'!B53,'GRAM-UD'!B53)</f>
        <v>5497515</v>
      </c>
      <c r="C53" s="78">
        <f>SUM('LATECH-UD'!C53,'ULL-UD'!C53,'ULM-UD'!C53,'SLU-UD'!C53,'Nicholls-UD'!C53,'MCN-UD'!C53,'NSU-UD'!C53,'ULSBOS-UD'!C53,'GRAM-UD'!C53)</f>
        <v>6775325</v>
      </c>
      <c r="D53" s="78">
        <f>SUM('LATECH-UD'!D53,'ULL-UD'!D53,'ULM-UD'!D53,'SLU-UD'!D53,'Nicholls-UD'!D53,'MCN-UD'!D53,'NSU-UD'!D53,'ULSBOS-UD'!D53,'GRAM-UD'!D53)</f>
        <v>541301</v>
      </c>
      <c r="E53" s="78">
        <f t="shared" si="0"/>
        <v>-6234024</v>
      </c>
      <c r="F53" s="90">
        <f t="shared" si="2"/>
        <v>-0.9201070059369846</v>
      </c>
    </row>
    <row r="54" spans="1:6" ht="91.5">
      <c r="A54" s="76" t="s">
        <v>31</v>
      </c>
      <c r="B54" s="74">
        <f>B53+B52+B51+B50+B49-1</f>
        <v>606215865.3399999</v>
      </c>
      <c r="C54" s="74">
        <f>C53+C52+C51+C50+C49</f>
        <v>624819817.1600001</v>
      </c>
      <c r="D54" s="74">
        <f>D53+D52+D51+D50+D49-1</f>
        <v>712450842.0163077</v>
      </c>
      <c r="E54" s="74">
        <f t="shared" si="0"/>
        <v>87631024.85630763</v>
      </c>
      <c r="F54" s="87">
        <f t="shared" si="2"/>
        <v>0.14025007282038177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f>SUM('LATECH-UD'!B56,'ULL-UD'!B56,'ULM-UD'!B56,'SLU-UD'!B56,'Nicholls-UD'!B56,'MCN-UD'!B56,'NSU-UD'!B56,'ULSBOS-UD'!B56,'GRAM-UD'!B56)</f>
        <v>323557344</v>
      </c>
      <c r="C56" s="138">
        <f>SUM('LATECH-UD'!C56,'ULL-UD'!C56,'ULM-UD'!C56,'SLU-UD'!C56,'Nicholls-UD'!C56,'MCN-UD'!C56,'NSU-UD'!C56,'ULSBOS-UD'!C56,'GRAM-UD'!C56)</f>
        <v>331421568.2</v>
      </c>
      <c r="D56" s="138">
        <f>SUM('LATECH-UD'!D56,'ULL-UD'!D56,'ULM-UD'!D56,'SLU-UD'!D56,'Nicholls-UD'!D56,'MCN-UD'!D56,'NSU-UD'!D56,'ULSBOS-UD'!D56,'GRAM-UD'!D56)</f>
        <v>376564851.04615384</v>
      </c>
      <c r="E56" s="138">
        <f t="shared" si="0"/>
        <v>45143282.846153855</v>
      </c>
      <c r="F56" s="139">
        <f aca="true" t="shared" si="3" ref="F56:F63">E56/C56</f>
        <v>0.13621105919971885</v>
      </c>
    </row>
    <row r="57" spans="1:6" ht="91.5">
      <c r="A57" s="77" t="s">
        <v>34</v>
      </c>
      <c r="B57" s="78">
        <f>SUM('LATECH-UD'!B57,'ULL-UD'!B57,'ULM-UD'!B57,'SLU-UD'!B57,'Nicholls-UD'!B57,'MCN-UD'!B57,'NSU-UD'!B57,'ULSBOS-UD'!B57,'GRAM-UD'!B57)</f>
        <v>5989828.41</v>
      </c>
      <c r="C57" s="78">
        <f>SUM('LATECH-UD'!C57,'ULL-UD'!C57,'ULM-UD'!C57,'SLU-UD'!C57,'Nicholls-UD'!C57,'MCN-UD'!C57,'NSU-UD'!C57,'ULSBOS-UD'!C57,'GRAM-UD'!C57)</f>
        <v>6280450</v>
      </c>
      <c r="D57" s="78">
        <f>SUM('LATECH-UD'!D57,'ULL-UD'!D57,'ULM-UD'!D57,'SLU-UD'!D57,'Nicholls-UD'!D57,'MCN-UD'!D57,'NSU-UD'!D57,'ULSBOS-UD'!D57,'GRAM-UD'!D57)</f>
        <v>7144486</v>
      </c>
      <c r="E57" s="78">
        <f t="shared" si="0"/>
        <v>864036</v>
      </c>
      <c r="F57" s="92">
        <f t="shared" si="3"/>
        <v>0.1375754922019919</v>
      </c>
    </row>
    <row r="58" spans="1:6" ht="91.5">
      <c r="A58" s="80" t="s">
        <v>35</v>
      </c>
      <c r="B58" s="78">
        <f>SUM('LATECH-UD'!B58,'ULL-UD'!B58,'ULM-UD'!B58,'SLU-UD'!B58,'Nicholls-UD'!B58,'MCN-UD'!B58,'NSU-UD'!B58,'ULSBOS-UD'!B58,'GRAM-UD'!B58)</f>
        <v>98696167.99</v>
      </c>
      <c r="C58" s="78">
        <f>SUM('LATECH-UD'!C58,'ULL-UD'!C58,'ULM-UD'!C58,'SLU-UD'!C58,'Nicholls-UD'!C58,'MCN-UD'!C58,'NSU-UD'!C58,'ULSBOS-UD'!C58,'GRAM-UD'!C58)</f>
        <v>104846160.96000001</v>
      </c>
      <c r="D58" s="78">
        <f>SUM('LATECH-UD'!D58,'ULL-UD'!D58,'ULM-UD'!D58,'SLU-UD'!D58,'Nicholls-UD'!D58,'MCN-UD'!D58,'NSU-UD'!D58,'ULSBOS-UD'!D58,'GRAM-UD'!D58)</f>
        <v>118367806.97015384</v>
      </c>
      <c r="E58" s="78">
        <f t="shared" si="0"/>
        <v>13521646.01015383</v>
      </c>
      <c r="F58" s="90">
        <f t="shared" si="3"/>
        <v>0.12896653426645244</v>
      </c>
    </row>
    <row r="59" spans="1:6" s="126" customFormat="1" ht="90">
      <c r="A59" s="76" t="s">
        <v>36</v>
      </c>
      <c r="B59" s="74">
        <f>SUM(B56:B58)</f>
        <v>428243340.40000004</v>
      </c>
      <c r="C59" s="74">
        <f>SUM(C56:C58)</f>
        <v>442548179.15999997</v>
      </c>
      <c r="D59" s="74">
        <f>SUM(D56:D58)</f>
        <v>502077144.0163077</v>
      </c>
      <c r="E59" s="74">
        <f aca="true" t="shared" si="4" ref="E59:E73">D59-C59</f>
        <v>59528964.856307745</v>
      </c>
      <c r="F59" s="87">
        <f t="shared" si="3"/>
        <v>0.13451408831756936</v>
      </c>
    </row>
    <row r="60" spans="1:6" ht="91.5">
      <c r="A60" s="142" t="s">
        <v>37</v>
      </c>
      <c r="B60" s="141">
        <f>SUM('LATECH-UD'!B60,'ULL-UD'!B60,'ULM-UD'!B60,'SLU-UD'!B60,'Nicholls-UD'!B60,'MCN-UD'!B60,'NSU-UD'!B60,'ULSBOS-UD'!B60,'GRAM-UD'!B60)</f>
        <v>3926971.64</v>
      </c>
      <c r="C60" s="141">
        <f>SUM('LATECH-UD'!C60,'ULL-UD'!C60,'ULM-UD'!C60,'SLU-UD'!C60,'Nicholls-UD'!C60,'MCN-UD'!C60,'NSU-UD'!C60,'ULSBOS-UD'!C60,'GRAM-UD'!C60)</f>
        <v>4380847</v>
      </c>
      <c r="D60" s="141">
        <f>SUM('LATECH-UD'!D60,'ULL-UD'!D60,'ULM-UD'!D60,'SLU-UD'!D60,'Nicholls-UD'!D60,'MCN-UD'!D60,'NSU-UD'!D60,'ULSBOS-UD'!D60,'GRAM-UD'!D60)</f>
        <v>4960475</v>
      </c>
      <c r="E60" s="141">
        <f t="shared" si="4"/>
        <v>579628</v>
      </c>
      <c r="F60" s="143">
        <f t="shared" si="3"/>
        <v>0.13230957392485973</v>
      </c>
    </row>
    <row r="61" spans="1:6" ht="91.5">
      <c r="A61" s="77" t="s">
        <v>38</v>
      </c>
      <c r="B61" s="78">
        <f>SUM('LATECH-UD'!B61,'ULL-UD'!B61,'ULM-UD'!B61,'SLU-UD'!B61,'Nicholls-UD'!B61,'MCN-UD'!B61,'NSU-UD'!B61,'ULSBOS-UD'!B61,'GRAM-UD'!B61)</f>
        <v>51771748.32</v>
      </c>
      <c r="C61" s="78">
        <f>SUM('LATECH-UD'!C61,'ULL-UD'!C61,'ULM-UD'!C61,'SLU-UD'!C61,'Nicholls-UD'!C61,'MCN-UD'!C61,'NSU-UD'!C61,'ULSBOS-UD'!C61,'GRAM-UD'!C61)</f>
        <v>55398255</v>
      </c>
      <c r="D61" s="78">
        <f>SUM('LATECH-UD'!D61,'ULL-UD'!D61,'ULM-UD'!D61,'SLU-UD'!D61,'Nicholls-UD'!D61,'MCN-UD'!D61,'NSU-UD'!D61,'ULSBOS-UD'!D61,'GRAM-UD'!D61)</f>
        <v>58671320</v>
      </c>
      <c r="E61" s="78">
        <f t="shared" si="4"/>
        <v>3273065</v>
      </c>
      <c r="F61" s="92">
        <f t="shared" si="3"/>
        <v>0.05908245665860775</v>
      </c>
    </row>
    <row r="62" spans="1:6" ht="91.5">
      <c r="A62" s="80" t="s">
        <v>39</v>
      </c>
      <c r="B62" s="78">
        <f>SUM('LATECH-UD'!B62,'ULL-UD'!B62,'ULM-UD'!B62,'SLU-UD'!B62,'Nicholls-UD'!B62,'MCN-UD'!B62,'NSU-UD'!B62,'ULSBOS-UD'!B62,'GRAM-UD'!B62)</f>
        <v>11054786.45</v>
      </c>
      <c r="C62" s="78">
        <f>SUM('LATECH-UD'!C62,'ULL-UD'!C62,'ULM-UD'!C62,'SLU-UD'!C62,'Nicholls-UD'!C62,'MCN-UD'!C62,'NSU-UD'!C62,'ULSBOS-UD'!C62,'GRAM-UD'!C62)</f>
        <v>11185628</v>
      </c>
      <c r="D62" s="78">
        <f>SUM('LATECH-UD'!D62,'ULL-UD'!D62,'ULM-UD'!D62,'SLU-UD'!D62,'Nicholls-UD'!D62,'MCN-UD'!D62,'NSU-UD'!D62,'ULSBOS-UD'!D62,'GRAM-UD'!D62)</f>
        <v>13289689</v>
      </c>
      <c r="E62" s="78">
        <f t="shared" si="4"/>
        <v>2104061</v>
      </c>
      <c r="F62" s="90">
        <f t="shared" si="3"/>
        <v>0.18810396698334683</v>
      </c>
    </row>
    <row r="63" spans="1:6" s="126" customFormat="1" ht="90">
      <c r="A63" s="76" t="s">
        <v>40</v>
      </c>
      <c r="B63" s="74">
        <f>SUM(B60:B62)</f>
        <v>66753506.41</v>
      </c>
      <c r="C63" s="74">
        <f>SUM(C60:C62)</f>
        <v>70964730</v>
      </c>
      <c r="D63" s="74">
        <f>SUM(D60:D62)</f>
        <v>76921484</v>
      </c>
      <c r="E63" s="74">
        <f t="shared" si="4"/>
        <v>5956754</v>
      </c>
      <c r="F63" s="87">
        <f t="shared" si="3"/>
        <v>0.0839396415656059</v>
      </c>
    </row>
    <row r="64" spans="1:6" ht="91.5">
      <c r="A64" s="81" t="s">
        <v>41</v>
      </c>
      <c r="B64" s="129">
        <f>SUM('LATECH-UD'!B64,'ULL-UD'!B64,'ULM-UD'!B64,'SLU-UD'!B64,'Nicholls-UD'!B64,'MCN-UD'!B64,'NSU-UD'!B64,'ULSBOS-UD'!B64,'GRAM-UD'!B64)</f>
        <v>4036701.01</v>
      </c>
      <c r="C64" s="129">
        <f>SUM('LATECH-UD'!C64,'ULL-UD'!C64,'ULM-UD'!C64,'SLU-UD'!C64,'Nicholls-UD'!C64,'MCN-UD'!C64,'NSU-UD'!C64,'ULSBOS-UD'!C64,'GRAM-UD'!C64)</f>
        <v>4359976</v>
      </c>
      <c r="D64" s="129">
        <f>SUM('LATECH-UD'!D64,'ULL-UD'!D64,'ULM-UD'!D64,'SLU-UD'!D64,'Nicholls-UD'!D64,'MCN-UD'!D64,'NSU-UD'!D64,'ULSBOS-UD'!D64,'GRAM-UD'!D64)</f>
        <v>4489264</v>
      </c>
      <c r="E64" s="129">
        <f t="shared" si="4"/>
        <v>129288</v>
      </c>
      <c r="F64" s="144">
        <f aca="true" t="shared" si="5" ref="F64:F73">E64/C64</f>
        <v>0.029653374238757278</v>
      </c>
    </row>
    <row r="65" spans="1:6" ht="91.5">
      <c r="A65" s="77" t="s">
        <v>42</v>
      </c>
      <c r="B65" s="78">
        <f>SUM('LATECH-UD'!B65,'ULL-UD'!B65,'ULM-UD'!B65,'SLU-UD'!B65,'Nicholls-UD'!B65,'MCN-UD'!B65,'NSU-UD'!B65,'ULSBOS-UD'!B65,'GRAM-UD'!B65)</f>
        <v>78641246.67</v>
      </c>
      <c r="C65" s="78">
        <f>SUM('LATECH-UD'!C65,'ULL-UD'!C65,'ULM-UD'!C65,'SLU-UD'!C65,'Nicholls-UD'!C65,'MCN-UD'!C65,'NSU-UD'!C65,'ULSBOS-UD'!C65,'GRAM-UD'!C65)</f>
        <v>74559297</v>
      </c>
      <c r="D65" s="78">
        <f>SUM('LATECH-UD'!D65,'ULL-UD'!D65,'ULM-UD'!D65,'SLU-UD'!D65,'Nicholls-UD'!D65,'MCN-UD'!D65,'NSU-UD'!D65,'ULSBOS-UD'!D65,'GRAM-UD'!D65)</f>
        <v>77261660</v>
      </c>
      <c r="E65" s="78">
        <f t="shared" si="4"/>
        <v>2702363</v>
      </c>
      <c r="F65" s="92">
        <f t="shared" si="5"/>
        <v>0.03624448068495066</v>
      </c>
    </row>
    <row r="66" spans="1:6" ht="91.5">
      <c r="A66" s="80" t="s">
        <v>43</v>
      </c>
      <c r="B66" s="78">
        <f>SUM('LATECH-UD'!B66,'ULL-UD'!B66,'ULM-UD'!B66,'SLU-UD'!B66,'Nicholls-UD'!B66,'MCN-UD'!B66,'NSU-UD'!B66,'ULSBOS-UD'!B66,)</f>
        <v>0</v>
      </c>
      <c r="C66" s="78">
        <f>SUM('LATECH-UD'!C66,'ULL-UD'!C66,'ULM-UD'!C66,'SLU-UD'!C66,'Nicholls-UD'!C66,'MCN-UD'!C66,'NSU-UD'!C66,'ULSBOS-UD'!C66,)</f>
        <v>0</v>
      </c>
      <c r="D66" s="78">
        <f>SUM('LATECH-UD'!D66,'ULL-UD'!D66,'ULM-UD'!D66,'SLU-UD'!D66,'Nicholls-UD'!D66,'MCN-UD'!D66,'NSU-UD'!D66,'ULSBOS-UD'!D66,)</f>
        <v>0</v>
      </c>
      <c r="E66" s="78">
        <f t="shared" si="4"/>
        <v>0</v>
      </c>
      <c r="F66" s="90">
        <v>0</v>
      </c>
    </row>
    <row r="67" spans="1:6" ht="91.5">
      <c r="A67" s="80" t="s">
        <v>44</v>
      </c>
      <c r="B67" s="78">
        <f>SUM('LATECH-UD'!B67,'ULL-UD'!B67,'ULM-UD'!B67,'SLU-UD'!B67,'Nicholls-UD'!B67,'MCN-UD'!B67,'NSU-UD'!B67,'ULSBOS-UD'!B67,'GRAM-UD'!B67)</f>
        <v>11309337.99</v>
      </c>
      <c r="C67" s="78">
        <f>SUM('LATECH-UD'!C67,'ULL-UD'!C67,'ULM-UD'!C67,'SLU-UD'!C67,'Nicholls-UD'!C67,'MCN-UD'!C67,'NSU-UD'!C67,'ULSBOS-UD'!C67,'GRAM-UD'!C67)</f>
        <v>12442958</v>
      </c>
      <c r="D67" s="78">
        <f>SUM('LATECH-UD'!D67,'ULL-UD'!D67,'ULM-UD'!D67,'SLU-UD'!D67,'Nicholls-UD'!D67,'MCN-UD'!D67,'NSU-UD'!D67,'ULSBOS-UD'!D67,'GRAM-UD'!D67)</f>
        <v>12824512</v>
      </c>
      <c r="E67" s="78">
        <f t="shared" si="4"/>
        <v>381554</v>
      </c>
      <c r="F67" s="90">
        <f t="shared" si="5"/>
        <v>0.03066425202110302</v>
      </c>
    </row>
    <row r="68" spans="1:6" s="126" customFormat="1" ht="90">
      <c r="A68" s="76" t="s">
        <v>45</v>
      </c>
      <c r="B68" s="74">
        <f>SUM(B64:B67)</f>
        <v>93987285.67</v>
      </c>
      <c r="C68" s="74">
        <f>SUM(C64:C67)</f>
        <v>91362231</v>
      </c>
      <c r="D68" s="74">
        <f>SUM(D64:D67)</f>
        <v>94575436</v>
      </c>
      <c r="E68" s="74">
        <f t="shared" si="4"/>
        <v>3213205</v>
      </c>
      <c r="F68" s="87">
        <f t="shared" si="5"/>
        <v>0.03516994894750326</v>
      </c>
    </row>
    <row r="69" spans="1:6" ht="91.5">
      <c r="A69" s="81" t="s">
        <v>57</v>
      </c>
      <c r="B69" s="129">
        <f>SUM('LATECH-UD'!B69,'ULL-UD'!B69,'ULM-UD'!B69,'SLU-UD'!B69,'Nicholls-UD'!B69,'MCN-UD'!B69,'NSU-UD'!B69,'ULSBOS-UD'!B69,'GRAM-UD'!B69)</f>
        <v>10504097.02</v>
      </c>
      <c r="C69" s="129">
        <f>SUM('LATECH-UD'!C69,'ULL-UD'!C69,'ULM-UD'!C69,'SLU-UD'!C69,'Nicholls-UD'!C69,'MCN-UD'!C69,'NSU-UD'!C69,'ULSBOS-UD'!C69,'GRAM-UD'!C69)</f>
        <v>13519316</v>
      </c>
      <c r="D69" s="129">
        <f>SUM('LATECH-UD'!D69,'ULL-UD'!D69,'ULM-UD'!D69,'SLU-UD'!D69,'Nicholls-UD'!D69,'MCN-UD'!D69,'NSU-UD'!D69,'ULSBOS-UD'!D69,'GRAM-UD'!D69)</f>
        <v>28821669</v>
      </c>
      <c r="E69" s="129">
        <f t="shared" si="4"/>
        <v>15302353</v>
      </c>
      <c r="F69" s="144">
        <f t="shared" si="5"/>
        <v>1.1318881073569107</v>
      </c>
    </row>
    <row r="70" spans="1:6" ht="91.5">
      <c r="A70" s="77" t="s">
        <v>46</v>
      </c>
      <c r="B70" s="78">
        <f>SUM('LATECH-UD'!B70,'ULL-UD'!B70,'ULM-UD'!B70,'SLU-UD'!B70,'Nicholls-UD'!B70,'MCN-UD'!B70,'NSU-UD'!B70,'ULSBOS-UD'!B70,'GRAM-UD'!B70)</f>
        <v>4423144.88</v>
      </c>
      <c r="C70" s="78">
        <f>SUM('LATECH-UD'!C70,'ULL-UD'!C70,'ULM-UD'!C70,'SLU-UD'!C70,'Nicholls-UD'!C70,'MCN-UD'!C70,'NSU-UD'!C70,'ULSBOS-UD'!C70,'GRAM-UD'!C70)</f>
        <v>5468091</v>
      </c>
      <c r="D70" s="78">
        <f>SUM('LATECH-UD'!D70,'ULL-UD'!D70,'ULM-UD'!D70,'SLU-UD'!D70,'Nicholls-UD'!D70,'MCN-UD'!D70,'NSU-UD'!D70,'ULSBOS-UD'!D70,'GRAM-UD'!D70)</f>
        <v>6867943</v>
      </c>
      <c r="E70" s="78">
        <f t="shared" si="4"/>
        <v>1399852</v>
      </c>
      <c r="F70" s="92">
        <f t="shared" si="5"/>
        <v>0.2560037863305494</v>
      </c>
    </row>
    <row r="71" spans="1:6" ht="91.5">
      <c r="A71" s="80" t="s">
        <v>47</v>
      </c>
      <c r="B71" s="78">
        <f>SUM('LATECH-UD'!B71,'ULL-UD'!B71,'ULM-UD'!B71,'SLU-UD'!B71,'Nicholls-UD'!B71,'MCN-UD'!B71,'NSU-UD'!B71,'ULSBOS-UD'!B71,'GRAM-UD'!B71)</f>
        <v>2304489.46</v>
      </c>
      <c r="C71" s="78">
        <f>SUM('LATECH-UD'!C71,'ULL-UD'!C71,'ULM-UD'!C71,'SLU-UD'!C71,'Nicholls-UD'!C71,'MCN-UD'!C71,'NSU-UD'!C71,'ULSBOS-UD'!C71,'GRAM-UD'!C71)</f>
        <v>957270</v>
      </c>
      <c r="D71" s="78">
        <f>SUM('LATECH-UD'!D71,'ULL-UD'!D71,'ULM-UD'!D71,'SLU-UD'!D71,'Nicholls-UD'!D71,'MCN-UD'!D71,'NSU-UD'!D71,'ULSBOS-UD'!D71,'GRAM-UD'!D71)</f>
        <v>3187164</v>
      </c>
      <c r="E71" s="78">
        <f t="shared" si="4"/>
        <v>2229894</v>
      </c>
      <c r="F71" s="90">
        <f t="shared" si="5"/>
        <v>2.3294305681782568</v>
      </c>
    </row>
    <row r="72" spans="1:6" s="126" customFormat="1" ht="90">
      <c r="A72" s="99" t="s">
        <v>48</v>
      </c>
      <c r="B72" s="74">
        <f>SUM(B69:B71)</f>
        <v>17231731.36</v>
      </c>
      <c r="C72" s="74">
        <f>SUM(C69:C71)</f>
        <v>19944677</v>
      </c>
      <c r="D72" s="74">
        <f>SUM(D69:D71)</f>
        <v>38876776</v>
      </c>
      <c r="E72" s="74">
        <f t="shared" si="4"/>
        <v>18932099</v>
      </c>
      <c r="F72" s="87">
        <f t="shared" si="5"/>
        <v>0.9492306644023365</v>
      </c>
    </row>
    <row r="73" spans="1:6" ht="92.25" thickBot="1">
      <c r="A73" s="151" t="s">
        <v>31</v>
      </c>
      <c r="B73" s="152">
        <f>B72+B68+B63+B59+1</f>
        <v>606215864.84</v>
      </c>
      <c r="C73" s="152">
        <f>C72+C68+C63+C59</f>
        <v>624819817.16</v>
      </c>
      <c r="D73" s="152">
        <f>D72+D68+D63+D59+2</f>
        <v>712450842.0163077</v>
      </c>
      <c r="E73" s="152">
        <f t="shared" si="4"/>
        <v>87631024.85630774</v>
      </c>
      <c r="F73" s="153">
        <f t="shared" si="5"/>
        <v>0.14025007282038196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5" ht="91.5">
      <c r="A75" s="56" t="s">
        <v>0</v>
      </c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geOrder="overThenDown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30" zoomScaleNormal="30" zoomScalePageLayoutView="0" workbookViewId="0" topLeftCell="B1">
      <selection activeCell="D13" sqref="D13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160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45876027</v>
      </c>
      <c r="C8" s="74">
        <v>45876027</v>
      </c>
      <c r="D8" s="74">
        <v>57601549</v>
      </c>
      <c r="E8" s="74">
        <f aca="true" t="shared" si="0" ref="E8:E29">D8-C8</f>
        <v>11725522</v>
      </c>
      <c r="F8" s="75">
        <f>E8/C8</f>
        <v>0.2555914879028212</v>
      </c>
    </row>
    <row r="9" spans="1:6" ht="91.5">
      <c r="A9" s="76" t="s">
        <v>60</v>
      </c>
      <c r="B9" s="74">
        <f>SUM(B10:B22)</f>
        <v>2645139</v>
      </c>
      <c r="C9" s="74">
        <f>SUM(C10:C22)</f>
        <v>2645139</v>
      </c>
      <c r="D9" s="74">
        <f>SUM(D10:D22)</f>
        <v>2239310</v>
      </c>
      <c r="E9" s="74">
        <f t="shared" si="0"/>
        <v>-405829</v>
      </c>
      <c r="F9" s="75">
        <f>E9/C9</f>
        <v>-0.15342445141824304</v>
      </c>
    </row>
    <row r="10" spans="1:6" ht="91.5">
      <c r="A10" s="77" t="s">
        <v>61</v>
      </c>
      <c r="B10" s="78">
        <v>521745</v>
      </c>
      <c r="C10" s="78">
        <v>521745</v>
      </c>
      <c r="D10" s="78">
        <v>0</v>
      </c>
      <c r="E10" s="78">
        <f t="shared" si="0"/>
        <v>-521745</v>
      </c>
      <c r="F10" s="79">
        <f>E10/C10</f>
        <v>-1</v>
      </c>
    </row>
    <row r="11" spans="1:6" ht="91.5">
      <c r="A11" s="80" t="s">
        <v>62</v>
      </c>
      <c r="B11" s="78">
        <v>2123394</v>
      </c>
      <c r="C11" s="78">
        <v>2123394</v>
      </c>
      <c r="D11" s="78">
        <v>2239310</v>
      </c>
      <c r="E11" s="78">
        <f t="shared" si="0"/>
        <v>115916</v>
      </c>
      <c r="F11" s="79">
        <f>IF(ISERROR(E11/C11),0,(E11/C11))</f>
        <v>0.05458996304972134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aca="true" t="shared" si="1" ref="F12:F73">IF(ISERROR(E12/C12),0,(E12/C12))</f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190</v>
      </c>
      <c r="B14" s="78">
        <v>0</v>
      </c>
      <c r="C14" s="78">
        <v>0</v>
      </c>
      <c r="D14" s="78">
        <v>0</v>
      </c>
      <c r="E14" s="78">
        <f aca="true" t="shared" si="2" ref="E14:E19">D14-C14</f>
        <v>0</v>
      </c>
      <c r="F14" s="79">
        <f aca="true" t="shared" si="3" ref="F14:F19">IF(ISERROR(E14/C14),0,(E14/C14))</f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2"/>
        <v>0</v>
      </c>
      <c r="F15" s="79">
        <f t="shared" si="3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2"/>
        <v>0</v>
      </c>
      <c r="F16" s="79">
        <f t="shared" si="3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2"/>
        <v>0</v>
      </c>
      <c r="F17" s="79">
        <f t="shared" si="3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2"/>
        <v>0</v>
      </c>
      <c r="F18" s="79">
        <f t="shared" si="3"/>
        <v>0</v>
      </c>
    </row>
    <row r="19" spans="1:6" ht="91.5">
      <c r="A19" s="80" t="s">
        <v>96</v>
      </c>
      <c r="B19" s="78">
        <v>0</v>
      </c>
      <c r="C19" s="78">
        <v>0</v>
      </c>
      <c r="D19" s="78">
        <v>0</v>
      </c>
      <c r="E19" s="78">
        <f t="shared" si="2"/>
        <v>0</v>
      </c>
      <c r="F19" s="79">
        <f t="shared" si="3"/>
        <v>0</v>
      </c>
    </row>
    <row r="20" spans="1:6" ht="91.5">
      <c r="A20" s="80" t="s">
        <v>68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69</v>
      </c>
      <c r="B21" s="78">
        <v>0</v>
      </c>
      <c r="C21" s="78">
        <v>0</v>
      </c>
      <c r="D21" s="78">
        <v>0</v>
      </c>
      <c r="E21" s="78">
        <f>D21-C21</f>
        <v>0</v>
      </c>
      <c r="F21" s="79">
        <f t="shared" si="1"/>
        <v>0</v>
      </c>
    </row>
    <row r="22" spans="1:9" ht="91.5">
      <c r="A22" s="81" t="s">
        <v>70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  <c r="I22" s="127" t="s">
        <v>0</v>
      </c>
    </row>
    <row r="23" spans="1:6" ht="91.5">
      <c r="A23" s="130" t="s">
        <v>71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157">
        <f t="shared" si="1"/>
        <v>0</v>
      </c>
    </row>
    <row r="24" spans="1:6" ht="91.5">
      <c r="A24" s="158" t="s">
        <v>50</v>
      </c>
      <c r="B24" s="156">
        <v>0</v>
      </c>
      <c r="C24" s="74">
        <v>0</v>
      </c>
      <c r="D24" s="74">
        <v>0</v>
      </c>
      <c r="E24" s="74">
        <f t="shared" si="0"/>
        <v>0</v>
      </c>
      <c r="F24" s="75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s="126" customFormat="1" ht="90">
      <c r="A29" s="148" t="s">
        <v>14</v>
      </c>
      <c r="B29" s="74">
        <f>SUM(B9,B8)</f>
        <v>48521166</v>
      </c>
      <c r="C29" s="74">
        <f>SUM(C9,C7,C8,C7)</f>
        <v>48521166</v>
      </c>
      <c r="D29" s="74">
        <f>SUM(D9,D8)</f>
        <v>59840859</v>
      </c>
      <c r="E29" s="74">
        <f t="shared" si="0"/>
        <v>11319693</v>
      </c>
      <c r="F29" s="75">
        <f t="shared" si="1"/>
        <v>0.23329391960613644</v>
      </c>
    </row>
    <row r="30" spans="1:6" ht="91.5">
      <c r="A30" s="77"/>
      <c r="B30" s="88"/>
      <c r="C30" s="88"/>
      <c r="D30" s="88"/>
      <c r="E30" s="88"/>
      <c r="F30" s="145">
        <f t="shared" si="1"/>
        <v>0</v>
      </c>
    </row>
    <row r="31" spans="1:6" ht="91.5">
      <c r="A31" s="131" t="s">
        <v>78</v>
      </c>
      <c r="B31" s="120">
        <v>0</v>
      </c>
      <c r="C31" s="120">
        <v>0</v>
      </c>
      <c r="D31" s="120">
        <v>0</v>
      </c>
      <c r="E31" s="120">
        <v>0</v>
      </c>
      <c r="F31" s="132">
        <f t="shared" si="1"/>
        <v>0</v>
      </c>
    </row>
    <row r="32" spans="1:6" ht="91.5">
      <c r="A32" s="133" t="s">
        <v>0</v>
      </c>
      <c r="B32" s="134"/>
      <c r="C32" s="134"/>
      <c r="D32" s="134"/>
      <c r="E32" s="134"/>
      <c r="F32" s="135">
        <f t="shared" si="1"/>
        <v>0</v>
      </c>
    </row>
    <row r="33" spans="1:6" ht="91.5">
      <c r="A33" s="131" t="s">
        <v>15</v>
      </c>
      <c r="B33" s="120">
        <v>0</v>
      </c>
      <c r="C33" s="120">
        <v>0</v>
      </c>
      <c r="D33" s="120">
        <v>0</v>
      </c>
      <c r="E33" s="120">
        <v>0</v>
      </c>
      <c r="F33" s="136">
        <f t="shared" si="1"/>
        <v>0</v>
      </c>
    </row>
    <row r="34" spans="1:6" ht="91.5">
      <c r="A34" s="133" t="s">
        <v>0</v>
      </c>
      <c r="B34" s="134"/>
      <c r="C34" s="134"/>
      <c r="D34" s="134"/>
      <c r="E34" s="134"/>
      <c r="F34" s="135">
        <f t="shared" si="1"/>
        <v>0</v>
      </c>
    </row>
    <row r="35" spans="1:6" ht="91.5">
      <c r="A35" s="128" t="s">
        <v>56</v>
      </c>
      <c r="B35" s="74">
        <v>35952870</v>
      </c>
      <c r="C35" s="74">
        <v>41127771</v>
      </c>
      <c r="D35" s="74">
        <v>41200766</v>
      </c>
      <c r="E35" s="74">
        <f>D35-C35</f>
        <v>72995</v>
      </c>
      <c r="F35" s="75">
        <f t="shared" si="1"/>
        <v>0.0017748348190326192</v>
      </c>
    </row>
    <row r="36" spans="1:6" ht="91.5">
      <c r="A36" s="76" t="s">
        <v>0</v>
      </c>
      <c r="B36" s="86"/>
      <c r="C36" s="86"/>
      <c r="D36" s="86"/>
      <c r="E36" s="86"/>
      <c r="F36" s="87">
        <f t="shared" si="1"/>
        <v>0</v>
      </c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v>0</v>
      </c>
      <c r="F37" s="136">
        <f t="shared" si="1"/>
        <v>0</v>
      </c>
    </row>
    <row r="38" spans="1:6" ht="91.5">
      <c r="A38" s="133"/>
      <c r="B38" s="134"/>
      <c r="C38" s="134"/>
      <c r="D38" s="134"/>
      <c r="E38" s="134"/>
      <c r="F38" s="135">
        <f t="shared" si="1"/>
        <v>0</v>
      </c>
    </row>
    <row r="39" spans="1:6" ht="91.5">
      <c r="A39" s="131" t="s">
        <v>17</v>
      </c>
      <c r="B39" s="120">
        <f>SUM(B29:B38)</f>
        <v>84474036</v>
      </c>
      <c r="C39" s="120">
        <f>SUM(C29:C38)</f>
        <v>89648937</v>
      </c>
      <c r="D39" s="120">
        <f>SUM(D29:D38)</f>
        <v>101041625</v>
      </c>
      <c r="E39" s="120">
        <f>D39-C39</f>
        <v>11392688</v>
      </c>
      <c r="F39" s="136">
        <f t="shared" si="1"/>
        <v>0.12708112757656012</v>
      </c>
    </row>
    <row r="40" spans="1:6" ht="91.5">
      <c r="A40" s="146" t="s">
        <v>18</v>
      </c>
      <c r="B40" s="134"/>
      <c r="C40" s="134"/>
      <c r="D40" s="134"/>
      <c r="E40" s="134"/>
      <c r="F40" s="147">
        <f t="shared" si="1"/>
        <v>0</v>
      </c>
    </row>
    <row r="41" spans="1:6" ht="91.5">
      <c r="A41" s="137" t="s">
        <v>19</v>
      </c>
      <c r="B41" s="138">
        <v>31942318</v>
      </c>
      <c r="C41" s="138">
        <v>35288821</v>
      </c>
      <c r="D41" s="138">
        <v>40902916</v>
      </c>
      <c r="E41" s="138">
        <f aca="true" t="shared" si="4" ref="E41:E54">D41-C41</f>
        <v>5614095</v>
      </c>
      <c r="F41" s="139">
        <f t="shared" si="1"/>
        <v>0.1590898998864258</v>
      </c>
    </row>
    <row r="42" spans="1:6" ht="91.5">
      <c r="A42" s="77" t="s">
        <v>20</v>
      </c>
      <c r="B42" s="78">
        <v>9772369</v>
      </c>
      <c r="C42" s="78">
        <v>11106392</v>
      </c>
      <c r="D42" s="78">
        <v>12104716</v>
      </c>
      <c r="E42" s="78">
        <f t="shared" si="4"/>
        <v>998324</v>
      </c>
      <c r="F42" s="92">
        <f t="shared" si="1"/>
        <v>0.08988733694974929</v>
      </c>
    </row>
    <row r="43" spans="1:6" ht="91.5">
      <c r="A43" s="80" t="s">
        <v>21</v>
      </c>
      <c r="B43" s="78">
        <v>148594</v>
      </c>
      <c r="C43" s="78">
        <v>250000</v>
      </c>
      <c r="D43" s="78">
        <v>272684</v>
      </c>
      <c r="E43" s="78">
        <f t="shared" si="4"/>
        <v>22684</v>
      </c>
      <c r="F43" s="90">
        <f t="shared" si="1"/>
        <v>0.090736</v>
      </c>
    </row>
    <row r="44" spans="1:6" ht="91.5">
      <c r="A44" s="80" t="s">
        <v>49</v>
      </c>
      <c r="B44" s="78">
        <v>7414691</v>
      </c>
      <c r="C44" s="78">
        <v>8063215</v>
      </c>
      <c r="D44" s="78">
        <v>9334603</v>
      </c>
      <c r="E44" s="78">
        <f t="shared" si="4"/>
        <v>1271388</v>
      </c>
      <c r="F44" s="90">
        <f t="shared" si="1"/>
        <v>0.15767755169619066</v>
      </c>
    </row>
    <row r="45" spans="1:6" ht="91.5">
      <c r="A45" s="80" t="s">
        <v>22</v>
      </c>
      <c r="B45" s="78">
        <v>4208600</v>
      </c>
      <c r="C45" s="78">
        <v>4348656</v>
      </c>
      <c r="D45" s="78">
        <v>4725148</v>
      </c>
      <c r="E45" s="78">
        <f t="shared" si="4"/>
        <v>376492</v>
      </c>
      <c r="F45" s="90">
        <f t="shared" si="1"/>
        <v>0.08657663425205397</v>
      </c>
    </row>
    <row r="46" spans="1:6" ht="91.5">
      <c r="A46" s="80" t="s">
        <v>23</v>
      </c>
      <c r="B46" s="78">
        <v>9006480</v>
      </c>
      <c r="C46" s="78">
        <v>8345773</v>
      </c>
      <c r="D46" s="78">
        <v>9349891</v>
      </c>
      <c r="E46" s="78">
        <f t="shared" si="4"/>
        <v>1004118</v>
      </c>
      <c r="F46" s="90">
        <f t="shared" si="1"/>
        <v>0.12031455923855106</v>
      </c>
    </row>
    <row r="47" spans="1:6" ht="91.5">
      <c r="A47" s="80" t="s">
        <v>24</v>
      </c>
      <c r="B47" s="78">
        <v>7670897</v>
      </c>
      <c r="C47" s="78">
        <v>8012847</v>
      </c>
      <c r="D47" s="78">
        <v>8124847</v>
      </c>
      <c r="E47" s="78">
        <f t="shared" si="4"/>
        <v>112000</v>
      </c>
      <c r="F47" s="90">
        <f t="shared" si="1"/>
        <v>0.013977553795798172</v>
      </c>
    </row>
    <row r="48" spans="1:6" ht="91.5">
      <c r="A48" s="80" t="s">
        <v>25</v>
      </c>
      <c r="B48" s="78">
        <v>10823099</v>
      </c>
      <c r="C48" s="78">
        <v>10891702</v>
      </c>
      <c r="D48" s="78">
        <v>12385289</v>
      </c>
      <c r="E48" s="78">
        <f t="shared" si="4"/>
        <v>1493587</v>
      </c>
      <c r="F48" s="90">
        <f t="shared" si="1"/>
        <v>0.13713072575801286</v>
      </c>
    </row>
    <row r="49" spans="1:6" ht="91.5">
      <c r="A49" s="76" t="s">
        <v>26</v>
      </c>
      <c r="B49" s="74">
        <f>SUM(B41:B48)</f>
        <v>80987048</v>
      </c>
      <c r="C49" s="74">
        <f>SUM(C41:C48)</f>
        <v>86307406</v>
      </c>
      <c r="D49" s="74">
        <f>SUM(D41:D48)</f>
        <v>97200094</v>
      </c>
      <c r="E49" s="74">
        <f t="shared" si="4"/>
        <v>10892688</v>
      </c>
      <c r="F49" s="87">
        <f t="shared" si="1"/>
        <v>0.1262080336419797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f t="shared" si="4"/>
        <v>0</v>
      </c>
      <c r="F50" s="90">
        <f t="shared" si="1"/>
        <v>0</v>
      </c>
    </row>
    <row r="51" spans="1:6" ht="91.5">
      <c r="A51" s="80" t="s">
        <v>28</v>
      </c>
      <c r="B51" s="78">
        <v>0</v>
      </c>
      <c r="C51" s="78">
        <v>0</v>
      </c>
      <c r="D51" s="78">
        <v>0</v>
      </c>
      <c r="E51" s="78">
        <f t="shared" si="4"/>
        <v>0</v>
      </c>
      <c r="F51" s="90">
        <f t="shared" si="1"/>
        <v>0</v>
      </c>
    </row>
    <row r="52" spans="1:6" ht="91.5">
      <c r="A52" s="80" t="s">
        <v>29</v>
      </c>
      <c r="B52" s="78">
        <v>3245731</v>
      </c>
      <c r="C52" s="78">
        <v>2802026</v>
      </c>
      <c r="D52" s="78">
        <v>3502026</v>
      </c>
      <c r="E52" s="78">
        <f t="shared" si="4"/>
        <v>700000</v>
      </c>
      <c r="F52" s="90">
        <f t="shared" si="1"/>
        <v>0.2498192379371212</v>
      </c>
    </row>
    <row r="53" spans="1:6" ht="91.5">
      <c r="A53" s="80" t="s">
        <v>30</v>
      </c>
      <c r="B53" s="78">
        <v>241257</v>
      </c>
      <c r="C53" s="78">
        <v>539505</v>
      </c>
      <c r="D53" s="78">
        <v>339505</v>
      </c>
      <c r="E53" s="78">
        <f t="shared" si="4"/>
        <v>-200000</v>
      </c>
      <c r="F53" s="90">
        <f t="shared" si="1"/>
        <v>-0.37071018804274286</v>
      </c>
    </row>
    <row r="54" spans="1:6" ht="91.5">
      <c r="A54" s="76" t="s">
        <v>31</v>
      </c>
      <c r="B54" s="74">
        <f>SUM(B49,B50,B52,B51,B53)</f>
        <v>84474036</v>
      </c>
      <c r="C54" s="74">
        <f>SUM(C49,C50,C52,C51,C53)</f>
        <v>89648937</v>
      </c>
      <c r="D54" s="74">
        <f>SUM(D49,D50,D52,D51,D53)</f>
        <v>101041625</v>
      </c>
      <c r="E54" s="74">
        <f t="shared" si="4"/>
        <v>11392688</v>
      </c>
      <c r="F54" s="87">
        <f t="shared" si="1"/>
        <v>0.12708112757656012</v>
      </c>
    </row>
    <row r="55" spans="1:6" ht="91.5">
      <c r="A55" s="93" t="s">
        <v>32</v>
      </c>
      <c r="B55" s="86"/>
      <c r="C55" s="86"/>
      <c r="D55" s="86"/>
      <c r="E55" s="86"/>
      <c r="F55" s="87">
        <f t="shared" si="1"/>
        <v>0</v>
      </c>
    </row>
    <row r="56" spans="1:6" ht="91.5">
      <c r="A56" s="137" t="s">
        <v>33</v>
      </c>
      <c r="B56" s="138">
        <v>44580024</v>
      </c>
      <c r="C56" s="138">
        <v>45098310</v>
      </c>
      <c r="D56" s="138">
        <v>49709056</v>
      </c>
      <c r="E56" s="138">
        <f aca="true" t="shared" si="5" ref="E56:E71">D56-C56</f>
        <v>4610746</v>
      </c>
      <c r="F56" s="139">
        <f t="shared" si="1"/>
        <v>0.10223766699905162</v>
      </c>
    </row>
    <row r="57" spans="1:6" ht="91.5">
      <c r="A57" s="77" t="s">
        <v>34</v>
      </c>
      <c r="B57" s="78">
        <v>1450674</v>
      </c>
      <c r="C57" s="78">
        <v>1584626</v>
      </c>
      <c r="D57" s="78">
        <v>1709126</v>
      </c>
      <c r="E57" s="78">
        <f t="shared" si="5"/>
        <v>124500</v>
      </c>
      <c r="F57" s="92">
        <f t="shared" si="1"/>
        <v>0.07856743483951419</v>
      </c>
    </row>
    <row r="58" spans="1:6" ht="91.5">
      <c r="A58" s="80" t="s">
        <v>35</v>
      </c>
      <c r="B58" s="78">
        <v>13278680</v>
      </c>
      <c r="C58" s="78">
        <v>14408237</v>
      </c>
      <c r="D58" s="78">
        <v>16184745</v>
      </c>
      <c r="E58" s="78">
        <f t="shared" si="5"/>
        <v>1776508</v>
      </c>
      <c r="F58" s="90">
        <f t="shared" si="1"/>
        <v>0.12329808289522166</v>
      </c>
    </row>
    <row r="59" spans="1:6" s="126" customFormat="1" ht="90">
      <c r="A59" s="76" t="s">
        <v>36</v>
      </c>
      <c r="B59" s="74">
        <f>SUM(B56:B58)</f>
        <v>59309378</v>
      </c>
      <c r="C59" s="74">
        <f>SUM(C56:C58)</f>
        <v>61091173</v>
      </c>
      <c r="D59" s="74">
        <f>SUM(D56:D58)</f>
        <v>67602927</v>
      </c>
      <c r="E59" s="74">
        <f t="shared" si="5"/>
        <v>6511754</v>
      </c>
      <c r="F59" s="87">
        <f t="shared" si="1"/>
        <v>0.10659075084382486</v>
      </c>
    </row>
    <row r="60" spans="1:6" ht="91.5">
      <c r="A60" s="142" t="s">
        <v>37</v>
      </c>
      <c r="B60" s="141">
        <v>578779</v>
      </c>
      <c r="C60" s="141">
        <v>490286</v>
      </c>
      <c r="D60" s="141">
        <v>501901</v>
      </c>
      <c r="E60" s="141">
        <f t="shared" si="5"/>
        <v>11615</v>
      </c>
      <c r="F60" s="143">
        <f t="shared" si="1"/>
        <v>0.02369025425975859</v>
      </c>
    </row>
    <row r="61" spans="1:6" ht="91.5">
      <c r="A61" s="77" t="s">
        <v>38</v>
      </c>
      <c r="B61" s="78">
        <v>7420513</v>
      </c>
      <c r="C61" s="78">
        <v>7845997</v>
      </c>
      <c r="D61" s="78">
        <v>8393268</v>
      </c>
      <c r="E61" s="78">
        <f t="shared" si="5"/>
        <v>547271</v>
      </c>
      <c r="F61" s="92">
        <f t="shared" si="1"/>
        <v>0.06975161983875344</v>
      </c>
    </row>
    <row r="62" spans="1:6" ht="91.5">
      <c r="A62" s="80" t="s">
        <v>39</v>
      </c>
      <c r="B62" s="78">
        <v>1987025</v>
      </c>
      <c r="C62" s="78">
        <v>1909304</v>
      </c>
      <c r="D62" s="78">
        <v>1864870</v>
      </c>
      <c r="E62" s="78">
        <f t="shared" si="5"/>
        <v>-44434</v>
      </c>
      <c r="F62" s="90">
        <f t="shared" si="1"/>
        <v>-0.023272354742880128</v>
      </c>
    </row>
    <row r="63" spans="1:6" s="126" customFormat="1" ht="90">
      <c r="A63" s="76" t="s">
        <v>40</v>
      </c>
      <c r="B63" s="74">
        <f>SUM(B60:B62)</f>
        <v>9986317</v>
      </c>
      <c r="C63" s="74">
        <f>SUM(C60:C62)</f>
        <v>10245587</v>
      </c>
      <c r="D63" s="74">
        <f>SUM(D60:D62)</f>
        <v>10760039</v>
      </c>
      <c r="E63" s="74">
        <f>D63-C63</f>
        <v>514452</v>
      </c>
      <c r="F63" s="87">
        <f t="shared" si="1"/>
        <v>0.05021205715202067</v>
      </c>
    </row>
    <row r="64" spans="1:6" ht="91.5">
      <c r="A64" s="81" t="s">
        <v>41</v>
      </c>
      <c r="B64" s="129">
        <v>354972</v>
      </c>
      <c r="C64" s="129">
        <v>253900</v>
      </c>
      <c r="D64" s="129">
        <v>253900</v>
      </c>
      <c r="E64" s="129">
        <f t="shared" si="5"/>
        <v>0</v>
      </c>
      <c r="F64" s="144">
        <f t="shared" si="1"/>
        <v>0</v>
      </c>
    </row>
    <row r="65" spans="1:6" ht="91.5">
      <c r="A65" s="77" t="s">
        <v>42</v>
      </c>
      <c r="B65" s="78">
        <v>11461917</v>
      </c>
      <c r="C65" s="78">
        <v>11665633</v>
      </c>
      <c r="D65" s="78">
        <v>12256786</v>
      </c>
      <c r="E65" s="78">
        <f t="shared" si="5"/>
        <v>591153</v>
      </c>
      <c r="F65" s="92">
        <f t="shared" si="1"/>
        <v>0.050674746925434735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5"/>
        <v>0</v>
      </c>
      <c r="F66" s="90">
        <f t="shared" si="1"/>
        <v>0</v>
      </c>
    </row>
    <row r="67" spans="1:6" ht="91.5">
      <c r="A67" s="80" t="s">
        <v>44</v>
      </c>
      <c r="B67" s="78">
        <v>1723059</v>
      </c>
      <c r="C67" s="78">
        <v>1933180</v>
      </c>
      <c r="D67" s="78">
        <v>2017738</v>
      </c>
      <c r="E67" s="78">
        <f t="shared" si="5"/>
        <v>84558</v>
      </c>
      <c r="F67" s="90">
        <f t="shared" si="1"/>
        <v>0.04374036561520397</v>
      </c>
    </row>
    <row r="68" spans="1:6" s="126" customFormat="1" ht="90">
      <c r="A68" s="76" t="s">
        <v>45</v>
      </c>
      <c r="B68" s="74">
        <f>SUM(B64:B67)</f>
        <v>13539948</v>
      </c>
      <c r="C68" s="74">
        <f>SUM(C64:C67)</f>
        <v>13852713</v>
      </c>
      <c r="D68" s="74">
        <f>SUM(D64:D67)</f>
        <v>14528424</v>
      </c>
      <c r="E68" s="74">
        <f>D68-C68</f>
        <v>675711</v>
      </c>
      <c r="F68" s="87">
        <f t="shared" si="1"/>
        <v>0.048778242933351756</v>
      </c>
    </row>
    <row r="69" spans="1:6" ht="91.5">
      <c r="A69" s="81" t="s">
        <v>57</v>
      </c>
      <c r="B69" s="129">
        <v>890544</v>
      </c>
      <c r="C69" s="129">
        <v>3469270</v>
      </c>
      <c r="D69" s="129">
        <v>6961041</v>
      </c>
      <c r="E69" s="129">
        <f t="shared" si="5"/>
        <v>3491771</v>
      </c>
      <c r="F69" s="144">
        <f t="shared" si="1"/>
        <v>1.006485802488708</v>
      </c>
    </row>
    <row r="70" spans="1:6" ht="91.5">
      <c r="A70" s="77" t="s">
        <v>46</v>
      </c>
      <c r="B70" s="78">
        <v>747849</v>
      </c>
      <c r="C70" s="78">
        <v>990194</v>
      </c>
      <c r="D70" s="78">
        <v>1189194</v>
      </c>
      <c r="E70" s="78">
        <f t="shared" si="5"/>
        <v>199000</v>
      </c>
      <c r="F70" s="92">
        <f t="shared" si="1"/>
        <v>0.20097071886923168</v>
      </c>
    </row>
    <row r="71" spans="1:6" ht="91.5">
      <c r="A71" s="80" t="s">
        <v>47</v>
      </c>
      <c r="B71" s="78">
        <v>0</v>
      </c>
      <c r="C71" s="78">
        <v>0</v>
      </c>
      <c r="D71" s="78">
        <v>0</v>
      </c>
      <c r="E71" s="78">
        <f t="shared" si="5"/>
        <v>0</v>
      </c>
      <c r="F71" s="90">
        <f t="shared" si="1"/>
        <v>0</v>
      </c>
    </row>
    <row r="72" spans="1:6" s="126" customFormat="1" ht="90">
      <c r="A72" s="99" t="s">
        <v>48</v>
      </c>
      <c r="B72" s="74">
        <f>SUM(B69:B71)</f>
        <v>1638393</v>
      </c>
      <c r="C72" s="74">
        <f>SUM(C69:C71)</f>
        <v>4459464</v>
      </c>
      <c r="D72" s="74">
        <f>SUM(D69:D71)</f>
        <v>8150235</v>
      </c>
      <c r="E72" s="74">
        <f>D72-C72</f>
        <v>3690771</v>
      </c>
      <c r="F72" s="87">
        <f t="shared" si="1"/>
        <v>0.8276265936892864</v>
      </c>
    </row>
    <row r="73" spans="1:6" ht="92.25" thickBot="1">
      <c r="A73" s="151" t="s">
        <v>31</v>
      </c>
      <c r="B73" s="152">
        <f>SUM(B72,B68,B63,B59)</f>
        <v>84474036</v>
      </c>
      <c r="C73" s="152">
        <f>SUM(C72,C68,C63,C59)</f>
        <v>89648937</v>
      </c>
      <c r="D73" s="152">
        <f>SUM(D72,D68,D63,D59)</f>
        <v>101041625</v>
      </c>
      <c r="E73" s="152">
        <f>D73-C73</f>
        <v>11392688</v>
      </c>
      <c r="F73" s="153">
        <f t="shared" si="1"/>
        <v>0.12708112757656012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B1">
      <selection activeCell="D13" sqref="D13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166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64876412</v>
      </c>
      <c r="C8" s="74">
        <f>64876412</f>
        <v>64876412</v>
      </c>
      <c r="D8" s="74">
        <v>84557217</v>
      </c>
      <c r="E8" s="74">
        <f>D8-C8</f>
        <v>19680805</v>
      </c>
      <c r="F8" s="75">
        <f>IF(ISERROR(E8/C8),0,(E8/C8))</f>
        <v>0.3033584070586394</v>
      </c>
    </row>
    <row r="9" spans="1:6" ht="91.5">
      <c r="A9" s="76" t="s">
        <v>60</v>
      </c>
      <c r="B9" s="74">
        <f>SUM(B10:B23)</f>
        <v>3778132</v>
      </c>
      <c r="C9" s="74">
        <f>SUM(C10:C23)</f>
        <v>3778132</v>
      </c>
      <c r="D9" s="74">
        <f>SUM(D10:D23)</f>
        <v>3019335</v>
      </c>
      <c r="E9" s="74">
        <f aca="true" t="shared" si="0" ref="E9:E39">D9-C9</f>
        <v>-758797</v>
      </c>
      <c r="F9" s="75">
        <f aca="true" t="shared" si="1" ref="F9:F29">IF(ISERROR(E9/C9),0,(E9/C9))</f>
        <v>-0.20083919778345488</v>
      </c>
    </row>
    <row r="10" spans="1:6" ht="91.5">
      <c r="A10" s="77" t="s">
        <v>61</v>
      </c>
      <c r="B10" s="78">
        <v>916512</v>
      </c>
      <c r="C10" s="78">
        <v>916512</v>
      </c>
      <c r="D10" s="78">
        <v>0</v>
      </c>
      <c r="E10" s="78">
        <f t="shared" si="0"/>
        <v>-916512</v>
      </c>
      <c r="F10" s="79">
        <f t="shared" si="1"/>
        <v>-1</v>
      </c>
    </row>
    <row r="11" spans="1:6" ht="91.5">
      <c r="A11" s="80" t="s">
        <v>62</v>
      </c>
      <c r="B11" s="78">
        <v>2861620</v>
      </c>
      <c r="C11" s="78">
        <v>2861620</v>
      </c>
      <c r="D11" s="78">
        <f>2861620+157715</f>
        <v>3019335</v>
      </c>
      <c r="E11" s="78">
        <f t="shared" si="0"/>
        <v>157715</v>
      </c>
      <c r="F11" s="79">
        <f t="shared" si="1"/>
        <v>0.05511388653979214</v>
      </c>
    </row>
    <row r="12" spans="1:6" ht="91.5">
      <c r="A12" s="80" t="s">
        <v>99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9">
        <f t="shared" si="1"/>
        <v>0</v>
      </c>
    </row>
    <row r="13" spans="1:6" ht="91.5">
      <c r="A13" s="80" t="s">
        <v>66</v>
      </c>
      <c r="B13" s="78">
        <v>0</v>
      </c>
      <c r="C13" s="78">
        <v>0</v>
      </c>
      <c r="D13" s="78">
        <v>0</v>
      </c>
      <c r="E13" s="78">
        <f t="shared" si="0"/>
        <v>0</v>
      </c>
      <c r="F13" s="79">
        <f t="shared" si="1"/>
        <v>0</v>
      </c>
    </row>
    <row r="14" spans="1:6" ht="91.5">
      <c r="A14" s="80" t="s">
        <v>100</v>
      </c>
      <c r="B14" s="78">
        <v>0</v>
      </c>
      <c r="C14" s="78">
        <v>0</v>
      </c>
      <c r="D14" s="78">
        <v>0</v>
      </c>
      <c r="E14" s="78">
        <f aca="true" t="shared" si="2" ref="E14:E19">D14-C14</f>
        <v>0</v>
      </c>
      <c r="F14" s="79">
        <f aca="true" t="shared" si="3" ref="F14:F19">IF(ISERROR(E14/C14),0,(E14/C14))</f>
        <v>0</v>
      </c>
    </row>
    <row r="15" spans="1:6" ht="91.5">
      <c r="A15" s="80" t="s">
        <v>101</v>
      </c>
      <c r="B15" s="78">
        <v>0</v>
      </c>
      <c r="C15" s="78">
        <v>0</v>
      </c>
      <c r="D15" s="78">
        <v>0</v>
      </c>
      <c r="E15" s="78">
        <f t="shared" si="2"/>
        <v>0</v>
      </c>
      <c r="F15" s="79">
        <f t="shared" si="3"/>
        <v>0</v>
      </c>
    </row>
    <row r="16" spans="1:6" ht="91.5">
      <c r="A16" s="80" t="s">
        <v>102</v>
      </c>
      <c r="B16" s="78">
        <v>0</v>
      </c>
      <c r="C16" s="78">
        <v>0</v>
      </c>
      <c r="D16" s="78">
        <v>0</v>
      </c>
      <c r="E16" s="78">
        <f t="shared" si="2"/>
        <v>0</v>
      </c>
      <c r="F16" s="79">
        <f t="shared" si="3"/>
        <v>0</v>
      </c>
    </row>
    <row r="17" spans="1:6" ht="91.5">
      <c r="A17" s="80" t="s">
        <v>64</v>
      </c>
      <c r="B17" s="78">
        <v>0</v>
      </c>
      <c r="C17" s="78">
        <v>0</v>
      </c>
      <c r="D17" s="78">
        <v>0</v>
      </c>
      <c r="E17" s="78">
        <f t="shared" si="2"/>
        <v>0</v>
      </c>
      <c r="F17" s="79">
        <f t="shared" si="3"/>
        <v>0</v>
      </c>
    </row>
    <row r="18" spans="1:6" ht="91.5">
      <c r="A18" s="80" t="s">
        <v>73</v>
      </c>
      <c r="B18" s="78">
        <v>0</v>
      </c>
      <c r="C18" s="78">
        <v>0</v>
      </c>
      <c r="D18" s="78">
        <v>0</v>
      </c>
      <c r="E18" s="78">
        <f t="shared" si="2"/>
        <v>0</v>
      </c>
      <c r="F18" s="79">
        <f t="shared" si="3"/>
        <v>0</v>
      </c>
    </row>
    <row r="19" spans="1:6" ht="91.5">
      <c r="A19" s="80" t="s">
        <v>96</v>
      </c>
      <c r="B19" s="78">
        <v>0</v>
      </c>
      <c r="C19" s="78">
        <v>0</v>
      </c>
      <c r="D19" s="78">
        <v>0</v>
      </c>
      <c r="E19" s="78">
        <f t="shared" si="2"/>
        <v>0</v>
      </c>
      <c r="F19" s="79">
        <f t="shared" si="3"/>
        <v>0</v>
      </c>
    </row>
    <row r="20" spans="1:6" ht="91.5">
      <c r="A20" s="80" t="s">
        <v>68</v>
      </c>
      <c r="B20" s="78">
        <v>0</v>
      </c>
      <c r="C20" s="78">
        <v>0</v>
      </c>
      <c r="D20" s="78">
        <v>0</v>
      </c>
      <c r="E20" s="78">
        <f t="shared" si="0"/>
        <v>0</v>
      </c>
      <c r="F20" s="79">
        <f t="shared" si="1"/>
        <v>0</v>
      </c>
    </row>
    <row r="21" spans="1:6" ht="91.5">
      <c r="A21" s="80" t="s">
        <v>69</v>
      </c>
      <c r="B21" s="78">
        <v>0</v>
      </c>
      <c r="C21" s="78">
        <v>0</v>
      </c>
      <c r="D21" s="78">
        <v>0</v>
      </c>
      <c r="E21" s="78">
        <f>D21-C21</f>
        <v>0</v>
      </c>
      <c r="F21" s="79">
        <f t="shared" si="1"/>
        <v>0</v>
      </c>
    </row>
    <row r="22" spans="1:6" ht="91.5">
      <c r="A22" s="81" t="s">
        <v>70</v>
      </c>
      <c r="B22" s="78">
        <v>0</v>
      </c>
      <c r="C22" s="78">
        <v>0</v>
      </c>
      <c r="D22" s="78">
        <v>0</v>
      </c>
      <c r="E22" s="78">
        <f t="shared" si="0"/>
        <v>0</v>
      </c>
      <c r="F22" s="79">
        <f t="shared" si="1"/>
        <v>0</v>
      </c>
    </row>
    <row r="23" spans="1:6" ht="91.5">
      <c r="A23" s="130" t="s">
        <v>71</v>
      </c>
      <c r="B23" s="129">
        <v>0</v>
      </c>
      <c r="C23" s="129">
        <v>0</v>
      </c>
      <c r="D23" s="129">
        <v>0</v>
      </c>
      <c r="E23" s="129">
        <f t="shared" si="0"/>
        <v>0</v>
      </c>
      <c r="F23" s="157">
        <f t="shared" si="1"/>
        <v>0</v>
      </c>
    </row>
    <row r="24" spans="1:6" ht="91.5">
      <c r="A24" s="158" t="s">
        <v>50</v>
      </c>
      <c r="B24" s="156">
        <v>0</v>
      </c>
      <c r="C24" s="74">
        <f>SUM(C25:C25)</f>
        <v>0</v>
      </c>
      <c r="D24" s="74">
        <f>SUM(D25:D25)</f>
        <v>0</v>
      </c>
      <c r="E24" s="74">
        <f t="shared" si="0"/>
        <v>0</v>
      </c>
      <c r="F24" s="75">
        <f t="shared" si="1"/>
        <v>0</v>
      </c>
    </row>
    <row r="25" spans="1:6" ht="91.5">
      <c r="A25" s="77" t="s">
        <v>53</v>
      </c>
      <c r="B25" s="78">
        <v>0</v>
      </c>
      <c r="C25" s="78">
        <v>0</v>
      </c>
      <c r="D25" s="78">
        <v>0</v>
      </c>
      <c r="E25" s="78">
        <f t="shared" si="0"/>
        <v>0</v>
      </c>
      <c r="F25" s="79">
        <f t="shared" si="1"/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f t="shared" si="0"/>
        <v>0</v>
      </c>
      <c r="F26" s="75">
        <f t="shared" si="1"/>
        <v>0</v>
      </c>
    </row>
    <row r="27" spans="1:6" ht="91.5">
      <c r="A27" s="77" t="s">
        <v>53</v>
      </c>
      <c r="B27" s="78">
        <v>0</v>
      </c>
      <c r="C27" s="78">
        <v>0</v>
      </c>
      <c r="D27" s="78">
        <v>0</v>
      </c>
      <c r="E27" s="78">
        <f t="shared" si="0"/>
        <v>0</v>
      </c>
      <c r="F27" s="79">
        <f t="shared" si="1"/>
        <v>0</v>
      </c>
    </row>
    <row r="28" spans="1:6" ht="91.5">
      <c r="A28" s="80" t="s">
        <v>54</v>
      </c>
      <c r="B28" s="78">
        <v>0</v>
      </c>
      <c r="C28" s="78">
        <v>0</v>
      </c>
      <c r="D28" s="78">
        <v>0</v>
      </c>
      <c r="E28" s="78">
        <f t="shared" si="0"/>
        <v>0</v>
      </c>
      <c r="F28" s="79">
        <f t="shared" si="1"/>
        <v>0</v>
      </c>
    </row>
    <row r="29" spans="1:6" s="126" customFormat="1" ht="90">
      <c r="A29" s="148" t="s">
        <v>14</v>
      </c>
      <c r="B29" s="74">
        <f>B28+B27+B25+B9+B8</f>
        <v>68654544</v>
      </c>
      <c r="C29" s="74">
        <f>C28+C27+C25+C9+C8</f>
        <v>68654544</v>
      </c>
      <c r="D29" s="74">
        <f>D28+D27+D25+D9+D8</f>
        <v>87576552</v>
      </c>
      <c r="E29" s="74">
        <f t="shared" si="0"/>
        <v>18922008</v>
      </c>
      <c r="F29" s="75">
        <f t="shared" si="1"/>
        <v>0.27561188083923477</v>
      </c>
    </row>
    <row r="30" spans="1:6" ht="91.5">
      <c r="A30" s="77"/>
      <c r="B30" s="88"/>
      <c r="C30" s="88"/>
      <c r="D30" s="88"/>
      <c r="E30" s="88"/>
      <c r="F30" s="145">
        <f aca="true" t="shared" si="4" ref="F30:F40">IF(C30=0,"",E30/C30)</f>
      </c>
    </row>
    <row r="31" spans="1:6" ht="91.5">
      <c r="A31" s="131" t="s">
        <v>78</v>
      </c>
      <c r="B31" s="120">
        <v>0</v>
      </c>
      <c r="C31" s="120">
        <v>0</v>
      </c>
      <c r="D31" s="120">
        <v>0</v>
      </c>
      <c r="E31" s="120">
        <v>0</v>
      </c>
      <c r="F31" s="132">
        <f>IF(ISERROR(E31/C31),0,(E31/C31))</f>
        <v>0</v>
      </c>
    </row>
    <row r="32" spans="1:6" ht="91.5">
      <c r="A32" s="133" t="s">
        <v>0</v>
      </c>
      <c r="B32" s="134"/>
      <c r="C32" s="134"/>
      <c r="D32" s="134"/>
      <c r="E32" s="134"/>
      <c r="F32" s="135">
        <f t="shared" si="4"/>
      </c>
    </row>
    <row r="33" spans="1:6" ht="91.5">
      <c r="A33" s="131" t="s">
        <v>15</v>
      </c>
      <c r="B33" s="120">
        <v>0</v>
      </c>
      <c r="C33" s="120">
        <v>0</v>
      </c>
      <c r="D33" s="120">
        <v>0</v>
      </c>
      <c r="E33" s="120">
        <f t="shared" si="0"/>
        <v>0</v>
      </c>
      <c r="F33" s="136">
        <f>IF(ISERROR(E33/C33),0,(E33/C33))</f>
        <v>0</v>
      </c>
    </row>
    <row r="34" spans="1:6" ht="91.5">
      <c r="A34" s="133" t="s">
        <v>0</v>
      </c>
      <c r="B34" s="134"/>
      <c r="C34" s="134"/>
      <c r="D34" s="134"/>
      <c r="E34" s="134"/>
      <c r="F34" s="135">
        <f t="shared" si="4"/>
      </c>
    </row>
    <row r="35" spans="1:6" ht="91.5">
      <c r="A35" s="128" t="s">
        <v>56</v>
      </c>
      <c r="B35" s="74">
        <v>46919133</v>
      </c>
      <c r="C35" s="74">
        <v>48285448</v>
      </c>
      <c r="D35" s="74">
        <v>48201592</v>
      </c>
      <c r="E35" s="74">
        <f t="shared" si="0"/>
        <v>-83856</v>
      </c>
      <c r="F35" s="75">
        <f>IF(ISERROR(E35/C35),0,(E35/C35))</f>
        <v>-0.0017366722992815558</v>
      </c>
    </row>
    <row r="36" spans="1:6" ht="91.5">
      <c r="A36" s="76" t="s">
        <v>0</v>
      </c>
      <c r="B36" s="86"/>
      <c r="C36" s="86"/>
      <c r="D36" s="86"/>
      <c r="E36" s="86"/>
      <c r="F36" s="87">
        <f t="shared" si="4"/>
      </c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f t="shared" si="0"/>
        <v>0</v>
      </c>
      <c r="F37" s="136">
        <f>IF(ISERROR(E37/C37),0,(E37/C37))</f>
        <v>0</v>
      </c>
    </row>
    <row r="38" spans="1:6" ht="91.5">
      <c r="A38" s="133"/>
      <c r="B38" s="134"/>
      <c r="C38" s="134"/>
      <c r="D38" s="134"/>
      <c r="E38" s="134"/>
      <c r="F38" s="135">
        <f t="shared" si="4"/>
      </c>
    </row>
    <row r="39" spans="1:6" ht="91.5">
      <c r="A39" s="131" t="s">
        <v>17</v>
      </c>
      <c r="B39" s="120">
        <f>B37+B35+B33+B29</f>
        <v>115573677</v>
      </c>
      <c r="C39" s="120">
        <f>C37+C35+C33+C29</f>
        <v>116939992</v>
      </c>
      <c r="D39" s="120">
        <f>D37+D35+D33+D29</f>
        <v>135778144</v>
      </c>
      <c r="E39" s="120">
        <f t="shared" si="0"/>
        <v>18838152</v>
      </c>
      <c r="F39" s="136">
        <f>IF(ISERROR(E39/C39),0,(E39/C39))</f>
        <v>0.1610924686911215</v>
      </c>
    </row>
    <row r="40" spans="1:6" ht="91.5">
      <c r="A40" s="146" t="s">
        <v>18</v>
      </c>
      <c r="B40" s="134"/>
      <c r="C40" s="134"/>
      <c r="D40" s="134"/>
      <c r="E40" s="134"/>
      <c r="F40" s="147">
        <f t="shared" si="4"/>
      </c>
    </row>
    <row r="41" spans="1:6" ht="91.5">
      <c r="A41" s="137" t="s">
        <v>19</v>
      </c>
      <c r="B41" s="138">
        <v>48369551</v>
      </c>
      <c r="C41" s="138">
        <v>52039380</v>
      </c>
      <c r="D41" s="138">
        <v>61642425</v>
      </c>
      <c r="E41" s="138">
        <f>D41-C41</f>
        <v>9603045</v>
      </c>
      <c r="F41" s="139">
        <f aca="true" t="shared" si="5" ref="F41:F73">IF(ISERROR(E41/C41),0,(E41/C41))</f>
        <v>0.18453419314373076</v>
      </c>
    </row>
    <row r="42" spans="1:6" ht="91.5">
      <c r="A42" s="77" t="s">
        <v>20</v>
      </c>
      <c r="B42" s="78">
        <v>15045887</v>
      </c>
      <c r="C42" s="78">
        <v>14642542</v>
      </c>
      <c r="D42" s="78">
        <v>14123604</v>
      </c>
      <c r="E42" s="78">
        <f aca="true" t="shared" si="6" ref="E42:E48">D42-C42</f>
        <v>-518938</v>
      </c>
      <c r="F42" s="92">
        <f t="shared" si="5"/>
        <v>-0.035440431039910965</v>
      </c>
    </row>
    <row r="43" spans="1:6" ht="91.5">
      <c r="A43" s="80" t="s">
        <v>21</v>
      </c>
      <c r="B43" s="78">
        <v>300000</v>
      </c>
      <c r="C43" s="78">
        <v>300000</v>
      </c>
      <c r="D43" s="78">
        <v>300000</v>
      </c>
      <c r="E43" s="78">
        <f t="shared" si="6"/>
        <v>0</v>
      </c>
      <c r="F43" s="90">
        <f t="shared" si="5"/>
        <v>0</v>
      </c>
    </row>
    <row r="44" spans="1:6" ht="91.5">
      <c r="A44" s="80" t="s">
        <v>49</v>
      </c>
      <c r="B44" s="78">
        <v>10574365</v>
      </c>
      <c r="C44" s="78">
        <v>11069461</v>
      </c>
      <c r="D44" s="78">
        <v>11661747</v>
      </c>
      <c r="E44" s="78">
        <f t="shared" si="6"/>
        <v>592286</v>
      </c>
      <c r="F44" s="90">
        <f t="shared" si="5"/>
        <v>0.053506308934102575</v>
      </c>
    </row>
    <row r="45" spans="1:6" ht="91.5">
      <c r="A45" s="80" t="s">
        <v>22</v>
      </c>
      <c r="B45" s="78">
        <v>3802198</v>
      </c>
      <c r="C45" s="78">
        <v>3960875</v>
      </c>
      <c r="D45" s="78">
        <v>4079126</v>
      </c>
      <c r="E45" s="78">
        <f t="shared" si="6"/>
        <v>118251</v>
      </c>
      <c r="F45" s="90">
        <f t="shared" si="5"/>
        <v>0.0298547669391233</v>
      </c>
    </row>
    <row r="46" spans="1:6" ht="91.5">
      <c r="A46" s="80" t="s">
        <v>23</v>
      </c>
      <c r="B46" s="78">
        <v>13759195</v>
      </c>
      <c r="C46" s="78">
        <v>13998240</v>
      </c>
      <c r="D46" s="78">
        <v>14651178</v>
      </c>
      <c r="E46" s="78">
        <f t="shared" si="6"/>
        <v>652938</v>
      </c>
      <c r="F46" s="90">
        <f t="shared" si="5"/>
        <v>0.046644292425333474</v>
      </c>
    </row>
    <row r="47" spans="1:6" ht="91.5">
      <c r="A47" s="80" t="s">
        <v>24</v>
      </c>
      <c r="B47" s="78">
        <v>4261391</v>
      </c>
      <c r="C47" s="78">
        <v>4166110</v>
      </c>
      <c r="D47" s="78">
        <v>4818160</v>
      </c>
      <c r="E47" s="78">
        <f t="shared" si="6"/>
        <v>652050</v>
      </c>
      <c r="F47" s="90">
        <f t="shared" si="5"/>
        <v>0.15651291012479268</v>
      </c>
    </row>
    <row r="48" spans="1:6" ht="91.5">
      <c r="A48" s="80" t="s">
        <v>25</v>
      </c>
      <c r="B48" s="78">
        <v>15994597</v>
      </c>
      <c r="C48" s="78">
        <v>13582622</v>
      </c>
      <c r="D48" s="78">
        <v>20046142</v>
      </c>
      <c r="E48" s="78">
        <f t="shared" si="6"/>
        <v>6463520</v>
      </c>
      <c r="F48" s="90">
        <f t="shared" si="5"/>
        <v>0.4758668834338466</v>
      </c>
    </row>
    <row r="49" spans="1:6" ht="91.5">
      <c r="A49" s="76" t="s">
        <v>26</v>
      </c>
      <c r="B49" s="74">
        <f>SUM(B41:B48)</f>
        <v>112107184</v>
      </c>
      <c r="C49" s="74">
        <f>SUM(C41:C48)</f>
        <v>113759230</v>
      </c>
      <c r="D49" s="74">
        <f>SUM(D41:D48)</f>
        <v>131322382</v>
      </c>
      <c r="E49" s="74">
        <f>D49-C49</f>
        <v>17563152</v>
      </c>
      <c r="F49" s="87">
        <f t="shared" si="5"/>
        <v>0.15438880871468627</v>
      </c>
    </row>
    <row r="50" spans="1:6" ht="91.5">
      <c r="A50" s="140" t="s">
        <v>27</v>
      </c>
      <c r="B50" s="129">
        <v>0</v>
      </c>
      <c r="C50" s="129">
        <v>0</v>
      </c>
      <c r="D50" s="129">
        <v>0</v>
      </c>
      <c r="E50" s="129">
        <v>0</v>
      </c>
      <c r="F50" s="90">
        <f t="shared" si="5"/>
        <v>0</v>
      </c>
    </row>
    <row r="51" spans="1:6" ht="91.5">
      <c r="A51" s="80" t="s">
        <v>28</v>
      </c>
      <c r="B51" s="78">
        <v>220762</v>
      </c>
      <c r="C51" s="78">
        <v>255762</v>
      </c>
      <c r="D51" s="78">
        <v>255762</v>
      </c>
      <c r="E51" s="78">
        <f>D51-C51</f>
        <v>0</v>
      </c>
      <c r="F51" s="90">
        <f t="shared" si="5"/>
        <v>0</v>
      </c>
    </row>
    <row r="52" spans="1:6" ht="91.5">
      <c r="A52" s="80" t="s">
        <v>29</v>
      </c>
      <c r="B52" s="78">
        <v>3245731</v>
      </c>
      <c r="C52" s="78">
        <v>2925000</v>
      </c>
      <c r="D52" s="78">
        <v>4200000</v>
      </c>
      <c r="E52" s="78">
        <f>D52-C52</f>
        <v>1275000</v>
      </c>
      <c r="F52" s="90">
        <f t="shared" si="5"/>
        <v>0.4358974358974359</v>
      </c>
    </row>
    <row r="53" spans="1:6" ht="91.5">
      <c r="A53" s="80" t="s">
        <v>30</v>
      </c>
      <c r="B53" s="78">
        <v>0</v>
      </c>
      <c r="C53" s="78">
        <v>0</v>
      </c>
      <c r="D53" s="78">
        <v>0</v>
      </c>
      <c r="E53" s="78">
        <f>D53-C53</f>
        <v>0</v>
      </c>
      <c r="F53" s="90">
        <f t="shared" si="5"/>
        <v>0</v>
      </c>
    </row>
    <row r="54" spans="1:6" ht="91.5">
      <c r="A54" s="76" t="s">
        <v>31</v>
      </c>
      <c r="B54" s="74">
        <f>B53+B52+B51+B50+B49</f>
        <v>115573677</v>
      </c>
      <c r="C54" s="74">
        <f>C53+C52+C51+C50+C49</f>
        <v>116939992</v>
      </c>
      <c r="D54" s="74">
        <f>D53+D52+D51+D50+D49</f>
        <v>135778144</v>
      </c>
      <c r="E54" s="74">
        <f>D54-C54</f>
        <v>18838152</v>
      </c>
      <c r="F54" s="87">
        <f t="shared" si="5"/>
        <v>0.1610924686911215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v>60972902</v>
      </c>
      <c r="C56" s="138">
        <f>62455688+190000+132500</f>
        <v>62778188</v>
      </c>
      <c r="D56" s="138">
        <v>73156709</v>
      </c>
      <c r="E56" s="138">
        <f>D56-C56</f>
        <v>10378521</v>
      </c>
      <c r="F56" s="139">
        <f t="shared" si="5"/>
        <v>0.16532049316237035</v>
      </c>
    </row>
    <row r="57" spans="1:6" ht="91.5">
      <c r="A57" s="77" t="s">
        <v>34</v>
      </c>
      <c r="B57" s="78">
        <v>953908</v>
      </c>
      <c r="C57" s="78">
        <v>1025880</v>
      </c>
      <c r="D57" s="78">
        <v>1022302</v>
      </c>
      <c r="E57" s="78">
        <f>D57-C57</f>
        <v>-3578</v>
      </c>
      <c r="F57" s="92">
        <f t="shared" si="5"/>
        <v>-0.0034877373571957733</v>
      </c>
    </row>
    <row r="58" spans="1:6" ht="91.5">
      <c r="A58" s="80" t="s">
        <v>35</v>
      </c>
      <c r="B58" s="78">
        <v>18102235</v>
      </c>
      <c r="C58" s="78">
        <v>19949408</v>
      </c>
      <c r="D58" s="78">
        <f>11633016+9112786</f>
        <v>20745802</v>
      </c>
      <c r="E58" s="78">
        <f>D58-C58</f>
        <v>796394</v>
      </c>
      <c r="F58" s="90">
        <f t="shared" si="5"/>
        <v>0.039920683360629046</v>
      </c>
    </row>
    <row r="59" spans="1:6" s="126" customFormat="1" ht="90">
      <c r="A59" s="76" t="s">
        <v>36</v>
      </c>
      <c r="B59" s="74">
        <f>SUM(B56:B58)</f>
        <v>80029045</v>
      </c>
      <c r="C59" s="74">
        <f>SUM(C56:C58)</f>
        <v>83753476</v>
      </c>
      <c r="D59" s="74">
        <f>SUM(D56:D58)</f>
        <v>94924813</v>
      </c>
      <c r="E59" s="74">
        <f aca="true" t="shared" si="7" ref="E59:E73">D59-C59</f>
        <v>11171337</v>
      </c>
      <c r="F59" s="87">
        <f t="shared" si="5"/>
        <v>0.13338356249237943</v>
      </c>
    </row>
    <row r="60" spans="1:6" ht="91.5">
      <c r="A60" s="142" t="s">
        <v>37</v>
      </c>
      <c r="B60" s="141">
        <v>487182</v>
      </c>
      <c r="C60" s="141">
        <v>604949</v>
      </c>
      <c r="D60" s="141">
        <v>607649</v>
      </c>
      <c r="E60" s="141">
        <f t="shared" si="7"/>
        <v>2700</v>
      </c>
      <c r="F60" s="143">
        <f t="shared" si="5"/>
        <v>0.004463186152882309</v>
      </c>
    </row>
    <row r="61" spans="1:6" ht="91.5">
      <c r="A61" s="77" t="s">
        <v>38</v>
      </c>
      <c r="B61" s="78">
        <v>9843311</v>
      </c>
      <c r="C61" s="78">
        <v>11167195</v>
      </c>
      <c r="D61" s="78">
        <v>10823615</v>
      </c>
      <c r="E61" s="78">
        <f t="shared" si="7"/>
        <v>-343580</v>
      </c>
      <c r="F61" s="92">
        <f t="shared" si="5"/>
        <v>-0.030766902521179224</v>
      </c>
    </row>
    <row r="62" spans="1:6" ht="91.5">
      <c r="A62" s="80" t="s">
        <v>39</v>
      </c>
      <c r="B62" s="78">
        <v>1357146</v>
      </c>
      <c r="C62" s="78">
        <v>1522282</v>
      </c>
      <c r="D62" s="78">
        <v>1517882</v>
      </c>
      <c r="E62" s="78">
        <f t="shared" si="7"/>
        <v>-4400</v>
      </c>
      <c r="F62" s="90">
        <f t="shared" si="5"/>
        <v>-0.0028903974427865534</v>
      </c>
    </row>
    <row r="63" spans="1:6" s="126" customFormat="1" ht="90">
      <c r="A63" s="76" t="s">
        <v>40</v>
      </c>
      <c r="B63" s="74">
        <f>SUM(B60:B62)</f>
        <v>11687639</v>
      </c>
      <c r="C63" s="74">
        <f>SUM(C60:C62)</f>
        <v>13294426</v>
      </c>
      <c r="D63" s="74">
        <f>SUM(D60:D62)</f>
        <v>12949146</v>
      </c>
      <c r="E63" s="74">
        <f t="shared" si="7"/>
        <v>-345280</v>
      </c>
      <c r="F63" s="87">
        <f t="shared" si="5"/>
        <v>-0.025971786972976495</v>
      </c>
    </row>
    <row r="64" spans="1:6" ht="91.5">
      <c r="A64" s="81" t="s">
        <v>41</v>
      </c>
      <c r="B64" s="129">
        <v>241418</v>
      </c>
      <c r="C64" s="129">
        <v>236333</v>
      </c>
      <c r="D64" s="129">
        <v>242085</v>
      </c>
      <c r="E64" s="129">
        <f t="shared" si="7"/>
        <v>5752</v>
      </c>
      <c r="F64" s="144">
        <f t="shared" si="5"/>
        <v>0.024338539264512363</v>
      </c>
    </row>
    <row r="65" spans="1:6" ht="91.5">
      <c r="A65" s="77" t="s">
        <v>42</v>
      </c>
      <c r="B65" s="78">
        <v>18994711</v>
      </c>
      <c r="C65" s="78">
        <f>14064563-213238</f>
        <v>13851325</v>
      </c>
      <c r="D65" s="78">
        <f>15570906-275917</f>
        <v>15294989</v>
      </c>
      <c r="E65" s="78">
        <f t="shared" si="7"/>
        <v>1443664</v>
      </c>
      <c r="F65" s="92">
        <f t="shared" si="5"/>
        <v>0.10422569681961834</v>
      </c>
    </row>
    <row r="66" spans="1:6" ht="91.5">
      <c r="A66" s="80" t="s">
        <v>43</v>
      </c>
      <c r="B66" s="78">
        <v>0</v>
      </c>
      <c r="C66" s="78">
        <v>0</v>
      </c>
      <c r="D66" s="78">
        <v>0</v>
      </c>
      <c r="E66" s="78">
        <f t="shared" si="7"/>
        <v>0</v>
      </c>
      <c r="F66" s="90">
        <f t="shared" si="5"/>
        <v>0</v>
      </c>
    </row>
    <row r="67" spans="1:6" ht="91.5">
      <c r="A67" s="80" t="s">
        <v>44</v>
      </c>
      <c r="B67" s="78">
        <v>0</v>
      </c>
      <c r="C67" s="78">
        <v>213238</v>
      </c>
      <c r="D67" s="78">
        <v>275917</v>
      </c>
      <c r="E67" s="78">
        <f t="shared" si="7"/>
        <v>62679</v>
      </c>
      <c r="F67" s="90">
        <f t="shared" si="5"/>
        <v>0.29393916656505875</v>
      </c>
    </row>
    <row r="68" spans="1:6" s="126" customFormat="1" ht="90">
      <c r="A68" s="76" t="s">
        <v>45</v>
      </c>
      <c r="B68" s="74">
        <f>SUM(B64:B67)</f>
        <v>19236129</v>
      </c>
      <c r="C68" s="74">
        <f>SUM(C64:C67)</f>
        <v>14300896</v>
      </c>
      <c r="D68" s="74">
        <f>SUM(D64:D67)</f>
        <v>15812991</v>
      </c>
      <c r="E68" s="74">
        <f t="shared" si="7"/>
        <v>1512095</v>
      </c>
      <c r="F68" s="87">
        <f t="shared" si="5"/>
        <v>0.10573428406164201</v>
      </c>
    </row>
    <row r="69" spans="1:6" ht="91.5">
      <c r="A69" s="81" t="s">
        <v>57</v>
      </c>
      <c r="B69" s="129">
        <v>3256761</v>
      </c>
      <c r="C69" s="129">
        <f>5441194-1263000+150000</f>
        <v>4328194</v>
      </c>
      <c r="D69" s="129">
        <f>12091194-1263000</f>
        <v>10828194</v>
      </c>
      <c r="E69" s="129">
        <f t="shared" si="7"/>
        <v>6500000</v>
      </c>
      <c r="F69" s="144">
        <f t="shared" si="5"/>
        <v>1.5017811123993057</v>
      </c>
    </row>
    <row r="70" spans="1:6" ht="91.5">
      <c r="A70" s="77" t="s">
        <v>46</v>
      </c>
      <c r="B70" s="78">
        <v>1364103</v>
      </c>
      <c r="C70" s="78">
        <v>1263000</v>
      </c>
      <c r="D70" s="78">
        <v>1263000</v>
      </c>
      <c r="E70" s="78">
        <f t="shared" si="7"/>
        <v>0</v>
      </c>
      <c r="F70" s="92">
        <f t="shared" si="5"/>
        <v>0</v>
      </c>
    </row>
    <row r="71" spans="1:6" ht="91.5">
      <c r="A71" s="80" t="s">
        <v>47</v>
      </c>
      <c r="B71" s="78">
        <v>0</v>
      </c>
      <c r="C71" s="78">
        <v>0</v>
      </c>
      <c r="D71" s="78">
        <v>0</v>
      </c>
      <c r="E71" s="78">
        <f t="shared" si="7"/>
        <v>0</v>
      </c>
      <c r="F71" s="90">
        <f t="shared" si="5"/>
        <v>0</v>
      </c>
    </row>
    <row r="72" spans="1:6" s="126" customFormat="1" ht="90">
      <c r="A72" s="99" t="s">
        <v>48</v>
      </c>
      <c r="B72" s="74">
        <f>SUM(B69:B71)</f>
        <v>4620864</v>
      </c>
      <c r="C72" s="74">
        <f>SUM(C69:C71)</f>
        <v>5591194</v>
      </c>
      <c r="D72" s="74">
        <f>SUM(D69:D71)</f>
        <v>12091194</v>
      </c>
      <c r="E72" s="74">
        <f t="shared" si="7"/>
        <v>6500000</v>
      </c>
      <c r="F72" s="87">
        <f t="shared" si="5"/>
        <v>1.1625423836125164</v>
      </c>
    </row>
    <row r="73" spans="1:6" ht="92.25" thickBot="1">
      <c r="A73" s="151" t="s">
        <v>31</v>
      </c>
      <c r="B73" s="152">
        <f>B72+B68+B63+B59</f>
        <v>115573677</v>
      </c>
      <c r="C73" s="152">
        <f>C72+C68+C63+C59</f>
        <v>116939992</v>
      </c>
      <c r="D73" s="152">
        <f>D72+D68+D63+D59</f>
        <v>135778144</v>
      </c>
      <c r="E73" s="152">
        <f t="shared" si="7"/>
        <v>18838152</v>
      </c>
      <c r="F73" s="153">
        <f t="shared" si="5"/>
        <v>0.1610924686911215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.5" footer="0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30" zoomScaleNormal="30" zoomScalePageLayoutView="0" workbookViewId="0" topLeftCell="B1">
      <selection activeCell="D13" sqref="D13"/>
    </sheetView>
  </sheetViews>
  <sheetFormatPr defaultColWidth="8.88671875" defaultRowHeight="15"/>
  <cols>
    <col min="1" max="1" width="255.77734375" style="56" bestFit="1" customWidth="1"/>
    <col min="2" max="4" width="68.6640625" style="51" customWidth="1"/>
    <col min="5" max="5" width="70.4453125" style="51" customWidth="1"/>
    <col min="6" max="6" width="63.5546875" style="57" customWidth="1"/>
    <col min="7" max="16384" width="8.88671875" style="127" customWidth="1"/>
  </cols>
  <sheetData>
    <row r="1" spans="1:5" ht="91.5">
      <c r="A1" s="50" t="s">
        <v>3</v>
      </c>
      <c r="C1" s="102" t="s">
        <v>6</v>
      </c>
      <c r="D1" s="124" t="s">
        <v>162</v>
      </c>
      <c r="E1" s="55"/>
    </row>
    <row r="2" ht="91.5">
      <c r="A2" s="50" t="s">
        <v>4</v>
      </c>
    </row>
    <row r="3" spans="1:6" ht="92.25" thickBot="1">
      <c r="A3" s="58" t="s">
        <v>5</v>
      </c>
      <c r="B3" s="59"/>
      <c r="C3" s="59"/>
      <c r="D3" s="59"/>
      <c r="E3" s="59"/>
      <c r="F3" s="60"/>
    </row>
    <row r="4" spans="1:6" ht="92.25" thickTop="1">
      <c r="A4" s="61" t="s">
        <v>7</v>
      </c>
      <c r="B4" s="62" t="s">
        <v>8</v>
      </c>
      <c r="C4" s="63" t="s">
        <v>9</v>
      </c>
      <c r="D4" s="63" t="s">
        <v>9</v>
      </c>
      <c r="E4" s="64" t="s">
        <v>55</v>
      </c>
      <c r="F4" s="65" t="s">
        <v>1</v>
      </c>
    </row>
    <row r="5" spans="1:6" ht="91.5">
      <c r="A5" s="66"/>
      <c r="B5" s="67" t="s">
        <v>95</v>
      </c>
      <c r="C5" s="67" t="s">
        <v>97</v>
      </c>
      <c r="D5" s="67" t="s">
        <v>98</v>
      </c>
      <c r="E5" s="67" t="s">
        <v>95</v>
      </c>
      <c r="F5" s="68" t="s">
        <v>10</v>
      </c>
    </row>
    <row r="6" spans="1:6" ht="91.5">
      <c r="A6" s="69" t="s">
        <v>11</v>
      </c>
      <c r="B6" s="70"/>
      <c r="C6" s="70"/>
      <c r="D6" s="70"/>
      <c r="E6" s="70"/>
      <c r="F6" s="71"/>
    </row>
    <row r="7" spans="1:6" ht="91.5">
      <c r="A7" s="69" t="s">
        <v>12</v>
      </c>
      <c r="B7" s="70"/>
      <c r="C7" s="70"/>
      <c r="D7" s="70"/>
      <c r="E7" s="72"/>
      <c r="F7" s="71"/>
    </row>
    <row r="8" spans="1:6" ht="91.5">
      <c r="A8" s="73" t="s">
        <v>13</v>
      </c>
      <c r="B8" s="74">
        <v>50324446</v>
      </c>
      <c r="C8" s="74">
        <v>50324446</v>
      </c>
      <c r="D8" s="74">
        <f>55037158+8434</f>
        <v>55045592</v>
      </c>
      <c r="E8" s="74">
        <f>+D8-C8</f>
        <v>4721146</v>
      </c>
      <c r="F8" s="75">
        <f>+E8/C8</f>
        <v>0.09381416737304966</v>
      </c>
    </row>
    <row r="9" spans="1:6" ht="91.5">
      <c r="A9" s="76" t="s">
        <v>104</v>
      </c>
      <c r="B9" s="74">
        <f>B10+B11</f>
        <v>2450314</v>
      </c>
      <c r="C9" s="74">
        <f>C10+C11</f>
        <v>2450314</v>
      </c>
      <c r="D9" s="74">
        <f>D10+D11</f>
        <v>2136934</v>
      </c>
      <c r="E9" s="74">
        <f>E10+E11</f>
        <v>-313380</v>
      </c>
      <c r="F9" s="75">
        <f>+E9/C9</f>
        <v>-0.12789381279297266</v>
      </c>
    </row>
    <row r="10" spans="1:6" ht="91.5">
      <c r="A10" s="77" t="s">
        <v>105</v>
      </c>
      <c r="B10" s="78">
        <v>421340</v>
      </c>
      <c r="C10" s="78">
        <v>421340</v>
      </c>
      <c r="D10" s="78">
        <v>0</v>
      </c>
      <c r="E10" s="78">
        <f>+D10-C10</f>
        <v>-421340</v>
      </c>
      <c r="F10" s="79">
        <f>+E10/C10</f>
        <v>-1</v>
      </c>
    </row>
    <row r="11" spans="1:6" ht="91.5">
      <c r="A11" s="80" t="s">
        <v>106</v>
      </c>
      <c r="B11" s="78">
        <v>2028974</v>
      </c>
      <c r="C11" s="78">
        <v>2028974</v>
      </c>
      <c r="D11" s="78">
        <v>2136934</v>
      </c>
      <c r="E11" s="78">
        <f>+D11-C11</f>
        <v>107960</v>
      </c>
      <c r="F11" s="79">
        <f>+E11/C11</f>
        <v>0.053209158914801276</v>
      </c>
    </row>
    <row r="12" spans="1:6" ht="91.5">
      <c r="A12" s="80" t="s">
        <v>192</v>
      </c>
      <c r="B12" s="78">
        <v>0</v>
      </c>
      <c r="C12" s="78">
        <v>0</v>
      </c>
      <c r="D12" s="78">
        <v>0</v>
      </c>
      <c r="E12" s="78">
        <v>0</v>
      </c>
      <c r="F12" s="79">
        <v>0</v>
      </c>
    </row>
    <row r="13" spans="1:6" ht="91.5">
      <c r="A13" s="80" t="s">
        <v>107</v>
      </c>
      <c r="B13" s="78">
        <v>0</v>
      </c>
      <c r="C13" s="78">
        <v>0</v>
      </c>
      <c r="D13" s="78">
        <v>0</v>
      </c>
      <c r="E13" s="78">
        <v>0</v>
      </c>
      <c r="F13" s="79">
        <v>0</v>
      </c>
    </row>
    <row r="14" spans="1:6" ht="91.5">
      <c r="A14" s="80" t="s">
        <v>108</v>
      </c>
      <c r="B14" s="78">
        <v>0</v>
      </c>
      <c r="C14" s="78">
        <v>0</v>
      </c>
      <c r="D14" s="78">
        <v>0</v>
      </c>
      <c r="E14" s="78">
        <v>0</v>
      </c>
      <c r="F14" s="79">
        <v>0</v>
      </c>
    </row>
    <row r="15" spans="1:6" ht="91.5">
      <c r="A15" s="80" t="s">
        <v>109</v>
      </c>
      <c r="B15" s="78">
        <v>0</v>
      </c>
      <c r="C15" s="78">
        <v>0</v>
      </c>
      <c r="D15" s="78">
        <v>0</v>
      </c>
      <c r="E15" s="78">
        <v>0</v>
      </c>
      <c r="F15" s="79">
        <v>0</v>
      </c>
    </row>
    <row r="16" spans="1:6" ht="91.5">
      <c r="A16" s="80" t="s">
        <v>110</v>
      </c>
      <c r="B16" s="78">
        <v>0</v>
      </c>
      <c r="C16" s="78">
        <v>0</v>
      </c>
      <c r="D16" s="78">
        <v>0</v>
      </c>
      <c r="E16" s="78">
        <v>0</v>
      </c>
      <c r="F16" s="79">
        <v>0</v>
      </c>
    </row>
    <row r="17" spans="1:6" ht="91.5">
      <c r="A17" s="80" t="s">
        <v>111</v>
      </c>
      <c r="B17" s="78">
        <v>0</v>
      </c>
      <c r="C17" s="78">
        <v>0</v>
      </c>
      <c r="D17" s="78">
        <v>0</v>
      </c>
      <c r="E17" s="78">
        <v>0</v>
      </c>
      <c r="F17" s="79">
        <v>0</v>
      </c>
    </row>
    <row r="18" spans="1:6" ht="91.5">
      <c r="A18" s="80" t="s">
        <v>112</v>
      </c>
      <c r="B18" s="78">
        <v>0</v>
      </c>
      <c r="C18" s="78">
        <v>0</v>
      </c>
      <c r="D18" s="78">
        <v>0</v>
      </c>
      <c r="E18" s="78">
        <v>0</v>
      </c>
      <c r="F18" s="79">
        <v>0</v>
      </c>
    </row>
    <row r="19" spans="1:6" ht="91.5">
      <c r="A19" s="80" t="s">
        <v>96</v>
      </c>
      <c r="B19" s="78">
        <v>0</v>
      </c>
      <c r="C19" s="78">
        <v>0</v>
      </c>
      <c r="D19" s="78">
        <v>0</v>
      </c>
      <c r="E19" s="78">
        <f>D19-C19</f>
        <v>0</v>
      </c>
      <c r="F19" s="79">
        <f>IF(ISERROR(E19/C19),0,(E19/C19))</f>
        <v>0</v>
      </c>
    </row>
    <row r="20" spans="1:6" ht="91.5">
      <c r="A20" s="80" t="s">
        <v>113</v>
      </c>
      <c r="B20" s="78">
        <v>0</v>
      </c>
      <c r="C20" s="78">
        <v>0</v>
      </c>
      <c r="D20" s="78">
        <v>0</v>
      </c>
      <c r="E20" s="78">
        <v>0</v>
      </c>
      <c r="F20" s="79">
        <v>0</v>
      </c>
    </row>
    <row r="21" spans="1:6" ht="91.5">
      <c r="A21" s="80" t="s">
        <v>114</v>
      </c>
      <c r="B21" s="78">
        <v>0</v>
      </c>
      <c r="C21" s="78">
        <v>0</v>
      </c>
      <c r="D21" s="78">
        <v>0</v>
      </c>
      <c r="E21" s="78">
        <v>0</v>
      </c>
      <c r="F21" s="79">
        <v>0</v>
      </c>
    </row>
    <row r="22" spans="1:6" ht="91.5">
      <c r="A22" s="81" t="s">
        <v>115</v>
      </c>
      <c r="B22" s="78">
        <v>0</v>
      </c>
      <c r="C22" s="78">
        <v>0</v>
      </c>
      <c r="D22" s="78">
        <v>0</v>
      </c>
      <c r="E22" s="78">
        <v>0</v>
      </c>
      <c r="F22" s="79">
        <v>0</v>
      </c>
    </row>
    <row r="23" spans="1:6" ht="91.5">
      <c r="A23" s="130" t="s">
        <v>116</v>
      </c>
      <c r="B23" s="129">
        <v>0</v>
      </c>
      <c r="C23" s="129">
        <v>0</v>
      </c>
      <c r="D23" s="129">
        <v>0</v>
      </c>
      <c r="E23" s="129">
        <v>0</v>
      </c>
      <c r="F23" s="157">
        <v>0</v>
      </c>
    </row>
    <row r="24" spans="1:6" ht="91.5">
      <c r="A24" s="158" t="s">
        <v>117</v>
      </c>
      <c r="B24" s="156">
        <v>0</v>
      </c>
      <c r="C24" s="74">
        <v>0</v>
      </c>
      <c r="D24" s="74">
        <v>0</v>
      </c>
      <c r="E24" s="74">
        <v>0</v>
      </c>
      <c r="F24" s="75">
        <v>0</v>
      </c>
    </row>
    <row r="25" spans="1:6" ht="91.5">
      <c r="A25" s="77" t="s">
        <v>118</v>
      </c>
      <c r="B25" s="78">
        <v>0</v>
      </c>
      <c r="C25" s="78">
        <v>0</v>
      </c>
      <c r="D25" s="78">
        <v>0</v>
      </c>
      <c r="E25" s="78">
        <v>0</v>
      </c>
      <c r="F25" s="79">
        <v>0</v>
      </c>
    </row>
    <row r="26" spans="1:6" ht="91.5">
      <c r="A26" s="76" t="s">
        <v>52</v>
      </c>
      <c r="B26" s="83">
        <v>0</v>
      </c>
      <c r="C26" s="83">
        <v>0</v>
      </c>
      <c r="D26" s="83">
        <v>0</v>
      </c>
      <c r="E26" s="83">
        <v>0</v>
      </c>
      <c r="F26" s="75">
        <v>0</v>
      </c>
    </row>
    <row r="27" spans="1:6" ht="91.5">
      <c r="A27" s="77" t="s">
        <v>119</v>
      </c>
      <c r="B27" s="78">
        <v>0</v>
      </c>
      <c r="C27" s="78">
        <v>0</v>
      </c>
      <c r="D27" s="78">
        <v>0</v>
      </c>
      <c r="E27" s="78">
        <v>0</v>
      </c>
      <c r="F27" s="79">
        <v>0</v>
      </c>
    </row>
    <row r="28" spans="1:6" ht="91.5">
      <c r="A28" s="80" t="s">
        <v>191</v>
      </c>
      <c r="B28" s="78">
        <v>0</v>
      </c>
      <c r="C28" s="78">
        <v>0</v>
      </c>
      <c r="D28" s="78">
        <v>0</v>
      </c>
      <c r="E28" s="78">
        <v>0</v>
      </c>
      <c r="F28" s="79">
        <v>0</v>
      </c>
    </row>
    <row r="29" spans="1:6" s="126" customFormat="1" ht="90">
      <c r="A29" s="148" t="s">
        <v>14</v>
      </c>
      <c r="B29" s="74">
        <f>SUM(B8:B28)-B9</f>
        <v>52774760</v>
      </c>
      <c r="C29" s="74">
        <f>SUM(C8:C28)-C9</f>
        <v>52774760</v>
      </c>
      <c r="D29" s="74">
        <f>SUM(D8:D28)-D9</f>
        <v>57182526</v>
      </c>
      <c r="E29" s="74">
        <f>SUM(E8:E28)-E9</f>
        <v>4407766</v>
      </c>
      <c r="F29" s="75">
        <f>+E29/C29</f>
        <v>0.08352034192102437</v>
      </c>
    </row>
    <row r="30" spans="1:6" ht="91.5">
      <c r="A30" s="77"/>
      <c r="B30" s="88"/>
      <c r="C30" s="88"/>
      <c r="D30" s="88"/>
      <c r="E30" s="88"/>
      <c r="F30" s="145"/>
    </row>
    <row r="31" spans="1:6" ht="91.5">
      <c r="A31" s="131" t="s">
        <v>120</v>
      </c>
      <c r="B31" s="120">
        <v>-452042</v>
      </c>
      <c r="C31" s="120">
        <v>0</v>
      </c>
      <c r="D31" s="120">
        <v>0</v>
      </c>
      <c r="E31" s="120">
        <v>0</v>
      </c>
      <c r="F31" s="132">
        <v>0</v>
      </c>
    </row>
    <row r="32" spans="1:6" ht="91.5">
      <c r="A32" s="133"/>
      <c r="B32" s="134"/>
      <c r="C32" s="134"/>
      <c r="D32" s="134"/>
      <c r="E32" s="134"/>
      <c r="F32" s="135"/>
    </row>
    <row r="33" spans="1:6" ht="91.5">
      <c r="A33" s="131" t="s">
        <v>15</v>
      </c>
      <c r="B33" s="120">
        <v>0</v>
      </c>
      <c r="C33" s="120">
        <v>0</v>
      </c>
      <c r="D33" s="120">
        <v>0</v>
      </c>
      <c r="E33" s="120">
        <v>0</v>
      </c>
      <c r="F33" s="136">
        <v>0</v>
      </c>
    </row>
    <row r="34" spans="1:6" ht="91.5">
      <c r="A34" s="133"/>
      <c r="B34" s="134"/>
      <c r="C34" s="134"/>
      <c r="D34" s="134"/>
      <c r="E34" s="134"/>
      <c r="F34" s="135"/>
    </row>
    <row r="35" spans="1:6" ht="91.5">
      <c r="A35" s="128" t="s">
        <v>121</v>
      </c>
      <c r="B35" s="74">
        <v>28508870</v>
      </c>
      <c r="C35" s="74">
        <v>29744952</v>
      </c>
      <c r="D35" s="74">
        <v>29769119</v>
      </c>
      <c r="E35" s="74">
        <f>+D35-C35</f>
        <v>24167</v>
      </c>
      <c r="F35" s="75">
        <f>+E35/C35</f>
        <v>0.0008124739955875538</v>
      </c>
    </row>
    <row r="36" spans="1:6" ht="91.5">
      <c r="A36" s="76"/>
      <c r="B36" s="86"/>
      <c r="C36" s="86"/>
      <c r="D36" s="86"/>
      <c r="E36" s="86"/>
      <c r="F36" s="87"/>
    </row>
    <row r="37" spans="1:6" ht="91.5">
      <c r="A37" s="131" t="s">
        <v>16</v>
      </c>
      <c r="B37" s="120">
        <v>0</v>
      </c>
      <c r="C37" s="120">
        <v>0</v>
      </c>
      <c r="D37" s="120">
        <v>0</v>
      </c>
      <c r="E37" s="120">
        <v>0</v>
      </c>
      <c r="F37" s="136">
        <v>0</v>
      </c>
    </row>
    <row r="38" spans="1:6" ht="91.5">
      <c r="A38" s="133"/>
      <c r="B38" s="134"/>
      <c r="C38" s="134"/>
      <c r="D38" s="134"/>
      <c r="E38" s="134"/>
      <c r="F38" s="135"/>
    </row>
    <row r="39" spans="1:6" ht="91.5">
      <c r="A39" s="131" t="s">
        <v>17</v>
      </c>
      <c r="B39" s="120">
        <f>+B29+B35+B31</f>
        <v>80831588</v>
      </c>
      <c r="C39" s="120">
        <f>SUM(C29:C37)</f>
        <v>82519712</v>
      </c>
      <c r="D39" s="120">
        <f>SUM(D29:D37)</f>
        <v>86951645</v>
      </c>
      <c r="E39" s="120">
        <f>+D39-C39</f>
        <v>4431933</v>
      </c>
      <c r="F39" s="136">
        <f>+E39/C39</f>
        <v>0.05370756747187872</v>
      </c>
    </row>
    <row r="40" spans="1:6" ht="91.5">
      <c r="A40" s="146" t="s">
        <v>18</v>
      </c>
      <c r="B40" s="134"/>
      <c r="C40" s="134"/>
      <c r="D40" s="134"/>
      <c r="E40" s="134"/>
      <c r="F40" s="147"/>
    </row>
    <row r="41" spans="1:6" ht="91.5">
      <c r="A41" s="137" t="s">
        <v>122</v>
      </c>
      <c r="B41" s="138">
        <f>'[1]BOR4'!$C$25</f>
        <v>34085207</v>
      </c>
      <c r="C41" s="138">
        <f>'[1]BOR4'!$D$25</f>
        <v>36824434</v>
      </c>
      <c r="D41" s="138">
        <f>'[1]BOR4'!$E$25</f>
        <v>39330244.164</v>
      </c>
      <c r="E41" s="138">
        <f aca="true" t="shared" si="0" ref="E41:E48">+D41-C41</f>
        <v>2505810.163999997</v>
      </c>
      <c r="F41" s="139">
        <f aca="true" t="shared" si="1" ref="F41:F49">+E41/C41</f>
        <v>0.06804748618811078</v>
      </c>
    </row>
    <row r="42" spans="1:6" ht="91.5">
      <c r="A42" s="77" t="s">
        <v>123</v>
      </c>
      <c r="B42" s="78">
        <f>'[1]BOR4'!$C$48</f>
        <v>4389397</v>
      </c>
      <c r="C42" s="78">
        <f>'[1]BOR4'!$D$48</f>
        <v>4194011</v>
      </c>
      <c r="D42" s="78">
        <f>'[1]BOR4'!$E$48</f>
        <v>4613401</v>
      </c>
      <c r="E42" s="78">
        <f t="shared" si="0"/>
        <v>419390</v>
      </c>
      <c r="F42" s="92">
        <f t="shared" si="1"/>
        <v>0.09999735336888721</v>
      </c>
    </row>
    <row r="43" spans="1:6" ht="91.5">
      <c r="A43" s="80" t="s">
        <v>124</v>
      </c>
      <c r="B43" s="78">
        <f>'[1]BOR4'!$C$72</f>
        <v>1136814</v>
      </c>
      <c r="C43" s="78">
        <f>'[1]BOR4'!$D$72</f>
        <v>1122554</v>
      </c>
      <c r="D43" s="78">
        <f>'[1]BOR4'!$E$72</f>
        <v>1314035.42</v>
      </c>
      <c r="E43" s="78">
        <f t="shared" si="0"/>
        <v>191481.41999999993</v>
      </c>
      <c r="F43" s="90">
        <f t="shared" si="1"/>
        <v>0.17057657805326062</v>
      </c>
    </row>
    <row r="44" spans="1:6" ht="91.5">
      <c r="A44" s="80" t="s">
        <v>125</v>
      </c>
      <c r="B44" s="78">
        <f>'[1]BOR4'!$C$96+'[1]BOR4'!C$118</f>
        <v>6360349</v>
      </c>
      <c r="C44" s="78">
        <f>'[1]BOR4'!$D$96+'[1]BOR4'!D$118</f>
        <v>6564892</v>
      </c>
      <c r="D44" s="78">
        <f>'[1]BOR4'!$E$96+'[1]BOR4'!E$118</f>
        <v>6727867.252307693</v>
      </c>
      <c r="E44" s="78">
        <f t="shared" si="0"/>
        <v>162975.25230769254</v>
      </c>
      <c r="F44" s="90">
        <f t="shared" si="1"/>
        <v>0.02482527546648026</v>
      </c>
    </row>
    <row r="45" spans="1:6" ht="91.5">
      <c r="A45" s="80" t="s">
        <v>126</v>
      </c>
      <c r="B45" s="78">
        <f>'[1]BOR4'!$C$143</f>
        <v>5042119</v>
      </c>
      <c r="C45" s="78">
        <f>'[1]BOR4'!$D$143</f>
        <v>4792882</v>
      </c>
      <c r="D45" s="78">
        <f>'[1]BOR4'!$E$143</f>
        <v>5430752.91</v>
      </c>
      <c r="E45" s="78">
        <f t="shared" si="0"/>
        <v>637870.9100000001</v>
      </c>
      <c r="F45" s="90">
        <f t="shared" si="1"/>
        <v>0.13308713003992173</v>
      </c>
    </row>
    <row r="46" spans="1:6" ht="91.5">
      <c r="A46" s="80" t="s">
        <v>127</v>
      </c>
      <c r="B46" s="78">
        <f>'[1]BOR4'!$C$167</f>
        <v>9961669</v>
      </c>
      <c r="C46" s="78">
        <f>'[1]BOR4'!$D$167</f>
        <v>9939418</v>
      </c>
      <c r="D46" s="78">
        <f>'[1]BOR4'!$E$167</f>
        <v>10687464.780000001</v>
      </c>
      <c r="E46" s="78">
        <f t="shared" si="0"/>
        <v>748046.7800000012</v>
      </c>
      <c r="F46" s="90">
        <f t="shared" si="1"/>
        <v>0.07526062189959223</v>
      </c>
    </row>
    <row r="47" spans="1:6" ht="91.5">
      <c r="A47" s="80" t="s">
        <v>128</v>
      </c>
      <c r="B47" s="78">
        <f>'[1]BOR4'!$C$191</f>
        <v>5237752</v>
      </c>
      <c r="C47" s="78">
        <f>'[1]BOR4'!$D$191</f>
        <v>5556700</v>
      </c>
      <c r="D47" s="78">
        <f>'[1]BOR4'!$E$191</f>
        <v>5660311</v>
      </c>
      <c r="E47" s="78">
        <f t="shared" si="0"/>
        <v>103611</v>
      </c>
      <c r="F47" s="90">
        <f t="shared" si="1"/>
        <v>0.018646138895387552</v>
      </c>
    </row>
    <row r="48" spans="1:6" ht="91.5">
      <c r="A48" s="80" t="s">
        <v>129</v>
      </c>
      <c r="B48" s="78">
        <f>'[1]BOR4'!$C$215</f>
        <v>9903097</v>
      </c>
      <c r="C48" s="78">
        <f>'[1]BOR4'!$D$215</f>
        <v>8958089</v>
      </c>
      <c r="D48" s="78">
        <f>'[1]BOR4'!$E$215</f>
        <v>10178404.24</v>
      </c>
      <c r="E48" s="78">
        <f t="shared" si="0"/>
        <v>1220315.2400000002</v>
      </c>
      <c r="F48" s="90">
        <f t="shared" si="1"/>
        <v>0.13622495154937625</v>
      </c>
    </row>
    <row r="49" spans="1:6" ht="91.5">
      <c r="A49" s="76" t="s">
        <v>130</v>
      </c>
      <c r="B49" s="74">
        <f>SUM(B41:B48)-1</f>
        <v>76116403</v>
      </c>
      <c r="C49" s="74">
        <f>SUM(C41:C48)</f>
        <v>77952980</v>
      </c>
      <c r="D49" s="74">
        <f>SUM(D41:D48)-1</f>
        <v>83942479.76630768</v>
      </c>
      <c r="E49" s="74">
        <f>SUM(E41:E48)-1</f>
        <v>5989499.766307691</v>
      </c>
      <c r="F49" s="87">
        <f t="shared" si="1"/>
        <v>0.07683477612155033</v>
      </c>
    </row>
    <row r="50" spans="1:6" ht="91.5">
      <c r="A50" s="140" t="s">
        <v>131</v>
      </c>
      <c r="B50" s="129" t="s">
        <v>0</v>
      </c>
      <c r="C50" s="129" t="s">
        <v>0</v>
      </c>
      <c r="D50" s="129" t="s">
        <v>0</v>
      </c>
      <c r="E50" s="129" t="s">
        <v>0</v>
      </c>
      <c r="F50" s="90"/>
    </row>
    <row r="51" spans="1:6" ht="91.5">
      <c r="A51" s="80" t="s">
        <v>132</v>
      </c>
      <c r="B51" s="78">
        <f>'[1]BOR4'!$C$246</f>
        <v>42974</v>
      </c>
      <c r="C51" s="78">
        <f>'[1]BOR4'!$D$246</f>
        <v>44311</v>
      </c>
      <c r="D51" s="78">
        <f>'[1]BOR4'!$E$246</f>
        <v>51024</v>
      </c>
      <c r="E51" s="78">
        <f>+D51-C51</f>
        <v>6713</v>
      </c>
      <c r="F51" s="90">
        <f>+E51/C51</f>
        <v>0.15149737085599513</v>
      </c>
    </row>
    <row r="52" spans="1:6" ht="91.5">
      <c r="A52" s="80" t="s">
        <v>133</v>
      </c>
      <c r="B52" s="78">
        <f>'[1]BOR4'!$C$277</f>
        <v>2952211</v>
      </c>
      <c r="C52" s="78">
        <f>'[1]BOR4'!$D$277</f>
        <v>2802421</v>
      </c>
      <c r="D52" s="78">
        <f>'[1]BOR4'!$E$277</f>
        <v>2958141</v>
      </c>
      <c r="E52" s="78">
        <f>+D52-C52</f>
        <v>155720</v>
      </c>
      <c r="F52" s="90">
        <f>+E52/C52</f>
        <v>0.055566240761113335</v>
      </c>
    </row>
    <row r="53" spans="1:6" ht="91.5">
      <c r="A53" s="80" t="s">
        <v>134</v>
      </c>
      <c r="B53" s="78">
        <f>'[1]BOR4'!$C$253</f>
        <v>1720000</v>
      </c>
      <c r="C53" s="78">
        <f>'[1]BOR4'!$D$253</f>
        <v>1720000</v>
      </c>
      <c r="D53" s="78">
        <f>'[1]BOR4'!$E$253</f>
        <v>0</v>
      </c>
      <c r="E53" s="78">
        <f>+D53-C53</f>
        <v>-1720000</v>
      </c>
      <c r="F53" s="90">
        <f>+E53/C53</f>
        <v>-1</v>
      </c>
    </row>
    <row r="54" spans="1:6" ht="91.5">
      <c r="A54" s="76" t="s">
        <v>31</v>
      </c>
      <c r="B54" s="74">
        <f>SUM(B49:B53)</f>
        <v>80831588</v>
      </c>
      <c r="C54" s="74">
        <f>SUM(C49:C53)</f>
        <v>82519712</v>
      </c>
      <c r="D54" s="74">
        <f>SUM(D49:D53)</f>
        <v>86951644.76630768</v>
      </c>
      <c r="E54" s="74">
        <f>SUM(E49:E53)</f>
        <v>4431932.766307691</v>
      </c>
      <c r="F54" s="87">
        <f>+E54/C54</f>
        <v>0.053707564639921324</v>
      </c>
    </row>
    <row r="55" spans="1:6" ht="91.5">
      <c r="A55" s="93" t="s">
        <v>32</v>
      </c>
      <c r="B55" s="86"/>
      <c r="C55" s="86"/>
      <c r="D55" s="86"/>
      <c r="E55" s="86"/>
      <c r="F55" s="87"/>
    </row>
    <row r="56" spans="1:6" ht="91.5">
      <c r="A56" s="137" t="s">
        <v>33</v>
      </c>
      <c r="B56" s="138">
        <f>'[1]BOR4'!$C$285</f>
        <v>42334153</v>
      </c>
      <c r="C56" s="138">
        <f>'[1]BOR4'!$D$285</f>
        <v>44166291</v>
      </c>
      <c r="D56" s="138">
        <f>'[1]BOR4'!$E$285</f>
        <v>47475497.04615384</v>
      </c>
      <c r="E56" s="138">
        <f>+D56-C56</f>
        <v>3309206.0461538434</v>
      </c>
      <c r="F56" s="139">
        <f aca="true" t="shared" si="2" ref="F56:F65">+E56/C56</f>
        <v>0.07492605720851324</v>
      </c>
    </row>
    <row r="57" spans="1:6" ht="91.5">
      <c r="A57" s="77" t="s">
        <v>34</v>
      </c>
      <c r="B57" s="78">
        <f>'[1]BOR4'!$C$286</f>
        <v>637322</v>
      </c>
      <c r="C57" s="78">
        <f>'[1]BOR4'!$D$286</f>
        <v>514327</v>
      </c>
      <c r="D57" s="78">
        <f>'[1]BOR4'!$E$286</f>
        <v>524927</v>
      </c>
      <c r="E57" s="78">
        <f>+D57-C57</f>
        <v>10600</v>
      </c>
      <c r="F57" s="92">
        <f t="shared" si="2"/>
        <v>0.020609456629731668</v>
      </c>
    </row>
    <row r="58" spans="1:6" ht="91.5">
      <c r="A58" s="80" t="s">
        <v>35</v>
      </c>
      <c r="B58" s="78">
        <f>'[1]BOR4'!$C$287</f>
        <v>13421502</v>
      </c>
      <c r="C58" s="78">
        <f>'[1]BOR4'!$D$287</f>
        <v>14399338</v>
      </c>
      <c r="D58" s="78">
        <f>'[1]BOR4'!$E$287</f>
        <v>15060131.720153848</v>
      </c>
      <c r="E58" s="78">
        <f>+D58-C58</f>
        <v>660793.7201538477</v>
      </c>
      <c r="F58" s="90">
        <f t="shared" si="2"/>
        <v>0.045890562479597864</v>
      </c>
    </row>
    <row r="59" spans="1:6" s="126" customFormat="1" ht="90">
      <c r="A59" s="76" t="s">
        <v>36</v>
      </c>
      <c r="B59" s="74">
        <f>SUM(B56:B58)+2</f>
        <v>56392979</v>
      </c>
      <c r="C59" s="74">
        <f>SUM(C56:C58)</f>
        <v>59079956</v>
      </c>
      <c r="D59" s="74">
        <f>SUM(D56:D58)+2</f>
        <v>63060557.76630769</v>
      </c>
      <c r="E59" s="74">
        <f>SUM(E56:E58)+2</f>
        <v>3980601.766307691</v>
      </c>
      <c r="F59" s="87">
        <f t="shared" si="2"/>
        <v>0.06737651880288623</v>
      </c>
    </row>
    <row r="60" spans="1:6" ht="91.5">
      <c r="A60" s="142" t="s">
        <v>37</v>
      </c>
      <c r="B60" s="141">
        <f>'[1]BOR4'!$C$289</f>
        <v>480801</v>
      </c>
      <c r="C60" s="141">
        <f>'[1]BOR4'!$D$289</f>
        <v>540124</v>
      </c>
      <c r="D60" s="141">
        <f>'[1]BOR4'!$E$289</f>
        <v>637779</v>
      </c>
      <c r="E60" s="141">
        <f>+D60-C60</f>
        <v>97655</v>
      </c>
      <c r="F60" s="143">
        <f t="shared" si="2"/>
        <v>0.18080107530863282</v>
      </c>
    </row>
    <row r="61" spans="1:6" ht="91.5">
      <c r="A61" s="77" t="s">
        <v>38</v>
      </c>
      <c r="B61" s="78">
        <f>'[1]BOR4'!$C$290</f>
        <v>7994208</v>
      </c>
      <c r="C61" s="78">
        <f>'[1]BOR4'!$D$290</f>
        <v>7996781</v>
      </c>
      <c r="D61" s="78">
        <f>'[1]BOR4'!$E$290</f>
        <v>8398926</v>
      </c>
      <c r="E61" s="78">
        <f>+D61-C61</f>
        <v>402145</v>
      </c>
      <c r="F61" s="92">
        <f t="shared" si="2"/>
        <v>0.05028835977876598</v>
      </c>
    </row>
    <row r="62" spans="1:6" ht="91.5">
      <c r="A62" s="80" t="s">
        <v>39</v>
      </c>
      <c r="B62" s="78">
        <f>'[1]BOR4'!$C$291</f>
        <v>1633493</v>
      </c>
      <c r="C62" s="78">
        <f>'[1]BOR4'!$D$291</f>
        <v>1605794</v>
      </c>
      <c r="D62" s="78">
        <f>'[1]BOR4'!$E$291</f>
        <v>2031660</v>
      </c>
      <c r="E62" s="78">
        <f>+D62-C62</f>
        <v>425866</v>
      </c>
      <c r="F62" s="90">
        <f t="shared" si="2"/>
        <v>0.2652058732315602</v>
      </c>
    </row>
    <row r="63" spans="1:6" s="126" customFormat="1" ht="90">
      <c r="A63" s="76" t="s">
        <v>40</v>
      </c>
      <c r="B63" s="74">
        <f>SUM(B60:B62)</f>
        <v>10108502</v>
      </c>
      <c r="C63" s="74">
        <f>SUM(C60:C62)</f>
        <v>10142699</v>
      </c>
      <c r="D63" s="74">
        <f>SUM(D60:D62)</f>
        <v>11068365</v>
      </c>
      <c r="E63" s="74">
        <f>SUM(E60:E62)</f>
        <v>925666</v>
      </c>
      <c r="F63" s="87">
        <f t="shared" si="2"/>
        <v>0.09126426802175634</v>
      </c>
    </row>
    <row r="64" spans="1:6" ht="91.5">
      <c r="A64" s="81" t="s">
        <v>41</v>
      </c>
      <c r="B64" s="129">
        <f>'[1]BOR4'!$C$293</f>
        <v>593450</v>
      </c>
      <c r="C64" s="129">
        <f>'[1]BOR4'!$D$293</f>
        <v>659012</v>
      </c>
      <c r="D64" s="129">
        <f>'[1]BOR4'!$E$293</f>
        <v>737512</v>
      </c>
      <c r="E64" s="129">
        <f>+D64-C64</f>
        <v>78500</v>
      </c>
      <c r="F64" s="144">
        <f t="shared" si="2"/>
        <v>0.11911770954094918</v>
      </c>
    </row>
    <row r="65" spans="1:6" ht="91.5">
      <c r="A65" s="77" t="s">
        <v>42</v>
      </c>
      <c r="B65" s="78">
        <f>+'[1]BOR4'!$C$294</f>
        <v>12413975</v>
      </c>
      <c r="C65" s="78">
        <f>+'[1]BOR4'!$D$294</f>
        <v>11252436</v>
      </c>
      <c r="D65" s="78">
        <f>+'[1]BOR4'!$E$294</f>
        <v>9950267</v>
      </c>
      <c r="E65" s="78">
        <f>+D65-C65</f>
        <v>-1302169</v>
      </c>
      <c r="F65" s="92">
        <f t="shared" si="2"/>
        <v>-0.115723297604181</v>
      </c>
    </row>
    <row r="66" spans="1:6" ht="91.5">
      <c r="A66" s="80" t="s">
        <v>135</v>
      </c>
      <c r="B66" s="78">
        <v>0</v>
      </c>
      <c r="C66" s="78">
        <v>0</v>
      </c>
      <c r="D66" s="78">
        <v>0</v>
      </c>
      <c r="E66" s="78">
        <f>+D66-C66</f>
        <v>0</v>
      </c>
      <c r="F66" s="90">
        <v>0</v>
      </c>
    </row>
    <row r="67" spans="1:6" ht="91.5">
      <c r="A67" s="80" t="s">
        <v>44</v>
      </c>
      <c r="B67" s="78">
        <f>'[1]BOR4'!$C$246</f>
        <v>42974</v>
      </c>
      <c r="C67" s="78">
        <f>'[1]BOR4'!$D$246</f>
        <v>44311</v>
      </c>
      <c r="D67" s="78">
        <f>'[1]BOR4'!$E$246</f>
        <v>51024</v>
      </c>
      <c r="E67" s="78">
        <f>+D67-C67</f>
        <v>6713</v>
      </c>
      <c r="F67" s="90">
        <f>+E67/C67</f>
        <v>0.15149737085599513</v>
      </c>
    </row>
    <row r="68" spans="1:6" s="126" customFormat="1" ht="90">
      <c r="A68" s="76" t="s">
        <v>45</v>
      </c>
      <c r="B68" s="74">
        <f>SUM(B64:B67)</f>
        <v>13050399</v>
      </c>
      <c r="C68" s="74">
        <f>SUM(C64:C67)</f>
        <v>11955759</v>
      </c>
      <c r="D68" s="74">
        <f>SUM(D64:D67)</f>
        <v>10738803</v>
      </c>
      <c r="E68" s="74">
        <f>SUM(E64:E67)</f>
        <v>-1216956</v>
      </c>
      <c r="F68" s="87">
        <f>+E68/C68</f>
        <v>-0.10178826789666805</v>
      </c>
    </row>
    <row r="69" spans="1:6" ht="91.5">
      <c r="A69" s="81" t="s">
        <v>57</v>
      </c>
      <c r="B69" s="129">
        <f>'[1]BOR4'!$C$298</f>
        <v>853796</v>
      </c>
      <c r="C69" s="129">
        <f>'[1]BOR4'!$D$298</f>
        <v>971298</v>
      </c>
      <c r="D69" s="129">
        <f>'[1]BOR4'!$E$298</f>
        <v>1713919</v>
      </c>
      <c r="E69" s="129">
        <f>+D69-C69</f>
        <v>742621</v>
      </c>
      <c r="F69" s="144">
        <f>+E69/C69</f>
        <v>0.7645655607238973</v>
      </c>
    </row>
    <row r="70" spans="1:6" ht="91.5">
      <c r="A70" s="77" t="s">
        <v>46</v>
      </c>
      <c r="B70" s="78">
        <f>'[1]BOR4'!$C$299</f>
        <v>425912</v>
      </c>
      <c r="C70" s="78">
        <f>'[1]BOR4'!$D$299</f>
        <v>370000</v>
      </c>
      <c r="D70" s="78">
        <f>'[1]BOR4'!$E$299</f>
        <v>370000</v>
      </c>
      <c r="E70" s="78">
        <f>+D70-C70</f>
        <v>0</v>
      </c>
      <c r="F70" s="92">
        <f>+E70/C70</f>
        <v>0</v>
      </c>
    </row>
    <row r="71" spans="1:6" ht="91.5">
      <c r="A71" s="80" t="s">
        <v>47</v>
      </c>
      <c r="B71" s="78">
        <f>'[1]BOR4'!$C$300</f>
        <v>0</v>
      </c>
      <c r="C71" s="78">
        <f>'[1]BOR4'!$E$300</f>
        <v>0</v>
      </c>
      <c r="D71" s="78">
        <f>'[1]BOR4'!$E$300</f>
        <v>0</v>
      </c>
      <c r="E71" s="78">
        <f>+D71-C71</f>
        <v>0</v>
      </c>
      <c r="F71" s="90">
        <v>0</v>
      </c>
    </row>
    <row r="72" spans="1:6" s="126" customFormat="1" ht="90">
      <c r="A72" s="99" t="s">
        <v>136</v>
      </c>
      <c r="B72" s="74">
        <f>SUM(B69:B71)</f>
        <v>1279708</v>
      </c>
      <c r="C72" s="74">
        <f>SUM(C69:C71)</f>
        <v>1341298</v>
      </c>
      <c r="D72" s="74">
        <f>SUM(D69:D71)</f>
        <v>2083919</v>
      </c>
      <c r="E72" s="74">
        <f>SUM(E69:E71)</f>
        <v>742621</v>
      </c>
      <c r="F72" s="87">
        <f>+E72/C72</f>
        <v>0.5536584711227482</v>
      </c>
    </row>
    <row r="73" spans="1:6" ht="92.25" thickBot="1">
      <c r="A73" s="151" t="s">
        <v>31</v>
      </c>
      <c r="B73" s="152">
        <f>+B59+B63+B68+B72</f>
        <v>80831588</v>
      </c>
      <c r="C73" s="152">
        <f>+C59+C63+C68+C72</f>
        <v>82519712</v>
      </c>
      <c r="D73" s="152">
        <f>+D59+D63+D68+D72</f>
        <v>86951644.76630768</v>
      </c>
      <c r="E73" s="152">
        <f>+E59+E63+E68+E72</f>
        <v>4431932.766307691</v>
      </c>
      <c r="F73" s="153">
        <f>+E73/C73</f>
        <v>0.053707564639921324</v>
      </c>
    </row>
    <row r="74" spans="1:6" ht="91.5">
      <c r="A74" s="149" t="s">
        <v>186</v>
      </c>
      <c r="B74" s="150"/>
      <c r="C74" s="150"/>
      <c r="D74" s="150"/>
      <c r="E74" s="155"/>
      <c r="F74" s="154"/>
    </row>
    <row r="75" ht="91.5">
      <c r="A75" s="56" t="s">
        <v>0</v>
      </c>
    </row>
    <row r="76" ht="91.5">
      <c r="F76" s="100"/>
    </row>
    <row r="77" ht="91.5">
      <c r="F77" s="100"/>
    </row>
    <row r="78" spans="1:6" ht="91.5">
      <c r="A78" s="50"/>
      <c r="F78" s="100"/>
    </row>
    <row r="79" ht="91.5">
      <c r="F79" s="100"/>
    </row>
    <row r="80" ht="91.5">
      <c r="F80" s="100"/>
    </row>
    <row r="81" ht="91.5">
      <c r="F81" s="100"/>
    </row>
    <row r="82" ht="91.5">
      <c r="F82" s="100"/>
    </row>
    <row r="83" ht="91.5">
      <c r="F83" s="100"/>
    </row>
    <row r="84" ht="91.5">
      <c r="F84" s="100"/>
    </row>
    <row r="85" ht="91.5">
      <c r="F85" s="100"/>
    </row>
    <row r="86" ht="91.5">
      <c r="F86" s="100"/>
    </row>
  </sheetData>
  <sheetProtection/>
  <printOptions horizontalCentered="1" verticalCentered="1"/>
  <pageMargins left="0" right="0" top="0" bottom="0" header="0.5" footer="0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