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46" windowWidth="14850" windowHeight="9000" activeTab="0"/>
  </bookViews>
  <sheets>
    <sheet name="TOTAL PSE" sheetId="1" r:id="rId1"/>
    <sheet name="LUMCON" sheetId="2" r:id="rId2"/>
    <sheet name="BOR" sheetId="3" r:id="rId3"/>
    <sheet name="TOTAL ULS SYSTEM" sheetId="4" r:id="rId4"/>
    <sheet name="LATECH-UD" sheetId="5" r:id="rId5"/>
    <sheet name="ULL-UD" sheetId="6" r:id="rId6"/>
    <sheet name="ULM-UD" sheetId="7" r:id="rId7"/>
    <sheet name="SLU-UD" sheetId="8" r:id="rId8"/>
    <sheet name="GRAM-UD" sheetId="9" r:id="rId9"/>
    <sheet name="Nicholls-UD" sheetId="10" r:id="rId10"/>
    <sheet name="MCN-UD" sheetId="11" r:id="rId11"/>
    <sheet name="NSU-UD" sheetId="12" r:id="rId12"/>
    <sheet name="ULSBOS-UD" sheetId="13" r:id="rId13"/>
    <sheet name="TOTAL LSU SYSTEM" sheetId="14" r:id="rId14"/>
    <sheet name="LSUBR" sheetId="15" r:id="rId15"/>
    <sheet name="LSUA" sheetId="16" r:id="rId16"/>
    <sheet name="LSUE" sheetId="17" r:id="rId17"/>
    <sheet name="LSUS" sheetId="18" r:id="rId18"/>
    <sheet name="UNO" sheetId="19" r:id="rId19"/>
    <sheet name="LSUHSC S" sheetId="20" r:id="rId20"/>
    <sheet name="HP Long" sheetId="21" r:id="rId21"/>
    <sheet name="EA CONWAY" sheetId="22" r:id="rId22"/>
    <sheet name="LSU AG" sheetId="23" r:id="rId23"/>
    <sheet name="PENNINGTON" sheetId="24" r:id="rId24"/>
    <sheet name="LSU LAW" sheetId="25" r:id="rId25"/>
    <sheet name="LSU HSC NO" sheetId="26" r:id="rId26"/>
    <sheet name="LSUBOS" sheetId="27" r:id="rId27"/>
    <sheet name="TOTAL SU SYSTEM" sheetId="28" r:id="rId28"/>
    <sheet name="SUAG" sheetId="29" r:id="rId29"/>
    <sheet name="SUBR" sheetId="30" r:id="rId30"/>
    <sheet name="SULAW" sheetId="31" r:id="rId31"/>
    <sheet name="SUNO" sheetId="32" r:id="rId32"/>
    <sheet name="SUSBO" sheetId="33" r:id="rId33"/>
    <sheet name="SUBOS" sheetId="34" r:id="rId34"/>
    <sheet name="TOTAL LCTCS" sheetId="35" r:id="rId35"/>
    <sheet name="LTC" sheetId="36" r:id="rId36"/>
    <sheet name="BRCC" sheetId="37" r:id="rId37"/>
    <sheet name="BPCC" sheetId="38" r:id="rId38"/>
    <sheet name="RPCC" sheetId="39" r:id="rId39"/>
    <sheet name="SLCC" sheetId="40" r:id="rId40"/>
    <sheet name="LDCC" sheetId="41" r:id="rId41"/>
    <sheet name="NUNEZ" sheetId="42" r:id="rId42"/>
    <sheet name="DELGADO" sheetId="43" r:id="rId43"/>
    <sheet name="FLETCHER" sheetId="44" r:id="rId44"/>
    <sheet name="SOWELA" sheetId="45" r:id="rId45"/>
    <sheet name="LCTCSBOS" sheetId="46" r:id="rId46"/>
  </sheets>
  <externalReferences>
    <externalReference r:id="rId49"/>
  </externalReferences>
  <definedNames>
    <definedName name="nonformula" localSheetId="22">'LSU AG'!$B$7:$D$11,'LSU AG'!$B$15:$D$19,'LSU AG'!$B$21:$D$26,'LSU AG'!$B$29:$D$30,'LSU AG'!$B$32:$D$33</definedName>
    <definedName name="nonformula" localSheetId="25">'LSU HSC NO'!$B$7:$D$11,'LSU HSC NO'!$B$15:$D$19,'LSU HSC NO'!$B$21:$D$26,'LSU HSC NO'!$B$29:$D$30,'LSU HSC NO'!$B$32:$D$33</definedName>
    <definedName name="nonformula" localSheetId="24">'LSU LAW'!$B$7:$D$11,'LSU LAW'!$B$15:$D$19,'LSU LAW'!$B$21:$D$26,'LSU LAW'!$B$29:$D$30,'LSU LAW'!$B$32:$D$33</definedName>
    <definedName name="nonformula" localSheetId="16">'LSUE'!$B$7:$D$11,'LSUE'!$B$15:$D$19,'LSUE'!$B$21:$D$26,'LSUE'!$B$29:$D$30,'LSUE'!$B$32:$D$33</definedName>
    <definedName name="nonformula" localSheetId="19">'LSUHSC S'!$B$7:$D$11,'LSUHSC S'!$B$15:$D$19,'LSUHSC S'!$B$21:$D$26,'LSUHSC S'!$B$29:$D$30,'LSUHSC S'!$B$32:$D$33</definedName>
    <definedName name="nonformula" localSheetId="17">'LSUS'!$B$7:$D$11,'LSUS'!$B$15:$D$19,'LSUS'!$B$21:$D$26,'LSUS'!$B$29:$D$30,'LSUS'!$B$32:$D$33</definedName>
    <definedName name="nonformula" localSheetId="23">'PENNINGTON'!$B$7:$D$11,'PENNINGTON'!$B$15:$D$19,'PENNINGTON'!$B$21:$D$26,'PENNINGTON'!$B$29:$D$30,'PENNINGTON'!$B$32:$D$33</definedName>
    <definedName name="nonformula" localSheetId="18">'UNO'!$B$7:$D$11,'UNO'!$B$15:$D$19,'UNO'!$B$21:$D$26,'UNO'!$B$29:$D$30,'UNO'!$B$32:$D$33</definedName>
    <definedName name="nonformula">'LSUA'!$B$7:$D$11,'LSUA'!$B$15:$D$19,'LSUA'!$B$21:$D$26,'LSUA'!$B$29:$D$30,'LSUA'!$B$32:$D$33</definedName>
    <definedName name="_xlnm.Print_Area" localSheetId="8">'GRAM-UD'!$A$1:$E$34</definedName>
    <definedName name="_xlnm.Print_Area" localSheetId="20">'HP Long'!$A$1:$F$41</definedName>
    <definedName name="_xlnm.Print_Area" localSheetId="4">'LATECH-UD'!$A$1:$E$36</definedName>
    <definedName name="_xlnm.Print_Area" localSheetId="26">'LSUBOS'!$A$1:$E$39</definedName>
    <definedName name="_xlnm.Print_Area" localSheetId="1">'LUMCON'!$A$1:$E$37</definedName>
    <definedName name="_xlnm.Print_Area" localSheetId="10">'MCN-UD'!$A$1:$E$39</definedName>
    <definedName name="_xlnm.Print_Area" localSheetId="9">'Nicholls-UD'!$A$1:$E$38</definedName>
    <definedName name="_xlnm.Print_Area" localSheetId="11">'NSU-UD'!$A$1:$E$39</definedName>
    <definedName name="_xlnm.Print_Area" localSheetId="7">'SLU-UD'!$A$1:$E$38</definedName>
    <definedName name="_xlnm.Print_Area" localSheetId="0">'TOTAL PSE'!$A$1:$L$38</definedName>
    <definedName name="_xlnm.Print_Area" localSheetId="3">'TOTAL ULS SYSTEM'!$A$1:$F$35</definedName>
    <definedName name="_xlnm.Print_Area" localSheetId="5">'ULL-UD'!$A$1:$E$39</definedName>
    <definedName name="_xlnm.Print_Area" localSheetId="6">'ULM-UD'!$A$1:$E$46</definedName>
    <definedName name="_xlnm.Print_Area" localSheetId="12">'ULSBOS-UD'!$A$1:$E$36</definedName>
    <definedName name="_xlnm.Print_Area">'TOTAL ULS SYSTEM'!$A$1:$F$35</definedName>
  </definedNames>
  <calcPr fullCalcOnLoad="1"/>
</workbook>
</file>

<file path=xl/sharedStrings.xml><?xml version="1.0" encoding="utf-8"?>
<sst xmlns="http://schemas.openxmlformats.org/spreadsheetml/2006/main" count="2253" uniqueCount="212">
  <si>
    <t xml:space="preserve"> </t>
  </si>
  <si>
    <t>%</t>
  </si>
  <si>
    <t>Board of Regents</t>
  </si>
  <si>
    <t>Institution:</t>
  </si>
  <si>
    <t>Actual</t>
  </si>
  <si>
    <t>Budgeted</t>
  </si>
  <si>
    <t>Change</t>
  </si>
  <si>
    <t>Over/(Under)</t>
  </si>
  <si>
    <t>TOTAL PSE</t>
  </si>
  <si>
    <t>Form BOR-2</t>
  </si>
  <si>
    <t>Financing Other Than State  Funds Appropriations</t>
  </si>
  <si>
    <t>Source:</t>
  </si>
  <si>
    <t>Interagency Transfers:</t>
  </si>
  <si>
    <t xml:space="preserve">  Medicaid</t>
  </si>
  <si>
    <t xml:space="preserve">  Uncompensated Care</t>
  </si>
  <si>
    <t xml:space="preserve">  Hospital Contracts (List)</t>
  </si>
  <si>
    <t xml:space="preserve">  Lab School</t>
  </si>
  <si>
    <t xml:space="preserve">  Other Total (List)</t>
  </si>
  <si>
    <t>Total Interagency Transfers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</si>
  <si>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</si>
  <si>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</si>
  <si>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</si>
  <si>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</si>
  <si>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</si>
  <si>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</si>
  <si>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Other Total (List)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</si>
  <si>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</si>
  <si>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</si>
  <si>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</si>
  <si>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</si>
  <si>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</si>
  <si>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</si>
  <si>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</si>
  <si>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</si>
  <si>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</si>
  <si>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</si>
  <si>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</si>
  <si>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</si>
  <si>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</si>
  <si>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(List)</t>
  </si>
  <si>
    <t>Total Federal Funds</t>
  </si>
  <si>
    <t>Total Revenues Other Than State Funds Appropriations</t>
  </si>
  <si>
    <r>
      <t>NOTE:</t>
    </r>
    <r>
      <rPr>
        <sz val="36"/>
        <rFont val="Arial"/>
        <family val="2"/>
      </rPr>
      <t xml:space="preserve"> For those funds reported as "Other Total", list the items and amounts which comprise that total.</t>
    </r>
  </si>
  <si>
    <t>Use continuation sheet if necessary.</t>
  </si>
  <si>
    <t>ACTUAL</t>
  </si>
  <si>
    <t>BUDGETED</t>
  </si>
  <si>
    <t>OVER /UNDER</t>
  </si>
  <si>
    <r>
      <t>NOTE:</t>
    </r>
    <r>
      <rPr>
        <sz val="16"/>
        <rFont val="Arial"/>
        <family val="2"/>
      </rPr>
      <t xml:space="preserve"> For those funds reported as "Other Total", list the items and amounts which comprise that total.</t>
    </r>
  </si>
  <si>
    <t>UNO</t>
  </si>
  <si>
    <t>LSU AG</t>
  </si>
  <si>
    <t>PENNINGTON</t>
  </si>
  <si>
    <t>LCTC SYSTEM TOTAL</t>
  </si>
  <si>
    <t>LTC</t>
  </si>
  <si>
    <t>BRCC</t>
  </si>
  <si>
    <t>BPCC</t>
  </si>
  <si>
    <t>RPCC</t>
  </si>
  <si>
    <t>SLCC</t>
  </si>
  <si>
    <t>LDCC</t>
  </si>
  <si>
    <t>NUNEZ</t>
  </si>
  <si>
    <t>DELGADO</t>
  </si>
  <si>
    <t>FLETCHER</t>
  </si>
  <si>
    <t>SOWELA</t>
  </si>
  <si>
    <t>Lumcon</t>
  </si>
  <si>
    <t>Bor</t>
  </si>
  <si>
    <t>2006-07</t>
  </si>
  <si>
    <t>Miscellaneous</t>
  </si>
  <si>
    <t>Application Fees</t>
  </si>
  <si>
    <t>Lab Fees</t>
  </si>
  <si>
    <t xml:space="preserve">     Other (List) Barataria -Terrebone National</t>
  </si>
  <si>
    <t>LSU BR includes vet</t>
  </si>
  <si>
    <t>2007-08</t>
  </si>
  <si>
    <t>2006-07*</t>
  </si>
  <si>
    <t>Northwestern State University</t>
  </si>
  <si>
    <t>Other Student Fees:</t>
  </si>
  <si>
    <t xml:space="preserve">   International Student Fee</t>
  </si>
  <si>
    <t xml:space="preserve">   Application Fee</t>
  </si>
  <si>
    <t xml:space="preserve">   Enrollment Services Fee</t>
  </si>
  <si>
    <t xml:space="preserve">   Late Registration Fee</t>
  </si>
  <si>
    <t xml:space="preserve">   Credit Exam Fee</t>
  </si>
  <si>
    <t xml:space="preserve">   Transcript Fee</t>
  </si>
  <si>
    <t xml:space="preserve">                Total  of Other Student Fees</t>
  </si>
  <si>
    <t xml:space="preserve">   Library Fee</t>
  </si>
  <si>
    <t xml:space="preserve">  Federal Program Admin.*</t>
  </si>
  <si>
    <t>*NOTE:  Federal Program Admin. Revenues are included in Other Self Generated Funds.</t>
  </si>
  <si>
    <t>Other Self-Generated Funds:</t>
  </si>
  <si>
    <t xml:space="preserve">  Installment Pay Plan Late Fees</t>
  </si>
  <si>
    <t xml:space="preserve">  Lab Fees</t>
  </si>
  <si>
    <t xml:space="preserve">  Institutional Evaluation Fees</t>
  </si>
  <si>
    <t xml:space="preserve">  Diploma Fees</t>
  </si>
  <si>
    <t xml:space="preserve">  Payment Plan Service Charge</t>
  </si>
  <si>
    <t xml:space="preserve">  Internet Course Fee</t>
  </si>
  <si>
    <t xml:space="preserve">  Veterans Administration</t>
  </si>
  <si>
    <t xml:space="preserve">  Post Office</t>
  </si>
  <si>
    <t xml:space="preserve">  Farm-Board</t>
  </si>
  <si>
    <t xml:space="preserve">  Farm-Livestock</t>
  </si>
  <si>
    <t xml:space="preserve">  Testing Center Fee</t>
  </si>
  <si>
    <t xml:space="preserve">  Interest Income-CDs</t>
  </si>
  <si>
    <t xml:space="preserve">  Interest Income-Checking Accounts</t>
  </si>
  <si>
    <t xml:space="preserve">  P O Box Rent</t>
  </si>
  <si>
    <t xml:space="preserve">  P O Key Forfeit</t>
  </si>
  <si>
    <t xml:space="preserve">  Rent Income</t>
  </si>
  <si>
    <t xml:space="preserve">  Facility Rental</t>
  </si>
  <si>
    <t xml:space="preserve">  Fingerprinting</t>
  </si>
  <si>
    <t xml:space="preserve">  Lost Key</t>
  </si>
  <si>
    <t xml:space="preserve">  On Campus Printing</t>
  </si>
  <si>
    <t xml:space="preserve">  Library Fines/Copying</t>
  </si>
  <si>
    <t xml:space="preserve">  Parking Fines</t>
  </si>
  <si>
    <t xml:space="preserve">  Photography Revenue</t>
  </si>
  <si>
    <t xml:space="preserve">  Overtime Charges</t>
  </si>
  <si>
    <t xml:space="preserve">  Swimming Pool Income</t>
  </si>
  <si>
    <t xml:space="preserve">  Tickets Sales-Non-Athletic</t>
  </si>
  <si>
    <t xml:space="preserve">  Lease Income</t>
  </si>
  <si>
    <t xml:space="preserve">  Miscellaneous Income</t>
  </si>
  <si>
    <t xml:space="preserve">  Catalog Sales</t>
  </si>
  <si>
    <t xml:space="preserve">  Telephone Commissions</t>
  </si>
  <si>
    <t xml:space="preserve">      Total of Other Self-Generated Funds</t>
  </si>
  <si>
    <t xml:space="preserve">  Other Self-Generated Funds (List)</t>
  </si>
  <si>
    <t xml:space="preserve">  Operating-FWS/Pell/SEOG Admininstration Fees &amp; Other Transfers In</t>
  </si>
  <si>
    <t>Self Generated Funds Student Fees:</t>
  </si>
  <si>
    <t>Other:     Registration fees, Institutuional Effectiveness</t>
  </si>
  <si>
    <t xml:space="preserve">              Student Health</t>
  </si>
  <si>
    <t xml:space="preserve">              Enhancement/Class fees</t>
  </si>
  <si>
    <t>Other Self Generated Funds</t>
  </si>
  <si>
    <t xml:space="preserve">          Interest, Library  &amp; Traffic Fines</t>
  </si>
  <si>
    <t xml:space="preserve">          Other Miscellaneous </t>
  </si>
  <si>
    <t xml:space="preserve">  Other Total (Wallace Grant)</t>
  </si>
  <si>
    <t xml:space="preserve">  Other Self-Generated Funds-Interest Income</t>
  </si>
  <si>
    <t>Total Other Student Fees: (LIST)</t>
  </si>
  <si>
    <t>International Student Fees</t>
  </si>
  <si>
    <t>Student Record Fees</t>
  </si>
  <si>
    <t>Total Other Self Generated Funds: (LIST)</t>
  </si>
  <si>
    <t>Indirect Cost</t>
  </si>
  <si>
    <t>Private Donations</t>
  </si>
  <si>
    <t>Rental Income</t>
  </si>
  <si>
    <t>Interest Income</t>
  </si>
  <si>
    <t>Ticket Sales</t>
  </si>
  <si>
    <t>Traffic/Library Fines</t>
  </si>
  <si>
    <t>Postage/PO Box Revenues</t>
  </si>
  <si>
    <t>Transcripts/Diploma Fees</t>
  </si>
  <si>
    <t>Testing</t>
  </si>
  <si>
    <t>Summer Orientation</t>
  </si>
  <si>
    <t>International Trip Fees</t>
  </si>
  <si>
    <t>Transfer - Operating</t>
  </si>
  <si>
    <t>Transfer - Revenue</t>
  </si>
  <si>
    <t>Transfer-Rev-Athl Ser Chg</t>
  </si>
  <si>
    <t>Federal Program Admin.</t>
  </si>
  <si>
    <t>Pell</t>
  </si>
  <si>
    <t>Post Office Revenues</t>
  </si>
  <si>
    <t>Indirect Cost - Federal</t>
  </si>
  <si>
    <t>V.A. Report Fee</t>
  </si>
  <si>
    <t>Federal Contract</t>
  </si>
  <si>
    <t>General Registration Fees</t>
  </si>
  <si>
    <t>Non-Resident Fees</t>
  </si>
  <si>
    <t>Academic Excellence Fee</t>
  </si>
  <si>
    <t>Operational Fee</t>
  </si>
  <si>
    <t xml:space="preserve">  State Grants and Contracts (Income - Lincoln Parish School Board)</t>
  </si>
  <si>
    <r>
      <t xml:space="preserve">  </t>
    </r>
    <r>
      <rPr>
        <b/>
        <sz val="28"/>
        <rFont val="Arial"/>
        <family val="2"/>
      </rPr>
      <t>Other Self-Generated Funds</t>
    </r>
  </si>
  <si>
    <t xml:space="preserve">     Pell </t>
  </si>
  <si>
    <t xml:space="preserve">     Other (List) </t>
  </si>
  <si>
    <t>Total Revenues Other Than State Funds Appropriated</t>
  </si>
  <si>
    <t xml:space="preserve">     Other - Carl Perkins Funds</t>
  </si>
  <si>
    <t xml:space="preserve">    Non-Residents Fees</t>
  </si>
  <si>
    <t xml:space="preserve">    Other Total: List Attached</t>
  </si>
  <si>
    <t xml:space="preserve">  Hospital-Commercial/Self-Pay</t>
  </si>
  <si>
    <t xml:space="preserve">  Athletics Other Than Student Fees</t>
  </si>
  <si>
    <t xml:space="preserve">    Pell</t>
  </si>
  <si>
    <t xml:space="preserve">    Other (List)</t>
  </si>
  <si>
    <t>Total Student Fees:</t>
  </si>
  <si>
    <t xml:space="preserve">    Other Total</t>
  </si>
  <si>
    <t xml:space="preserve">    Other Total (List) *</t>
  </si>
  <si>
    <t xml:space="preserve">  Other Self-Generated Funds:</t>
  </si>
  <si>
    <t xml:space="preserve">    Other Total (List):</t>
  </si>
  <si>
    <t>Total Self-Generated Funds*</t>
  </si>
  <si>
    <t>Total Revenues Other Than State Appropriations</t>
  </si>
  <si>
    <t>LCTCS BOS</t>
  </si>
  <si>
    <t xml:space="preserve">  Carl D. Perkins</t>
  </si>
  <si>
    <t>University of Louisiana at Lafayette</t>
  </si>
  <si>
    <t>Louisiana Tech University</t>
  </si>
  <si>
    <t>University of Louisiana at Monroe</t>
  </si>
  <si>
    <t>Southeastern Louisiana University</t>
  </si>
  <si>
    <t>Grambling State University</t>
  </si>
  <si>
    <t xml:space="preserve">Nicholls State University </t>
  </si>
  <si>
    <t>ULS Board of Supervisors</t>
  </si>
  <si>
    <t>McNeese State University</t>
  </si>
  <si>
    <t>ULS SYSTEM TOTALS</t>
  </si>
  <si>
    <t>SU System Total</t>
  </si>
  <si>
    <t xml:space="preserve">Southern Ag </t>
  </si>
  <si>
    <t>Southern BR</t>
  </si>
  <si>
    <t>Southern Law</t>
  </si>
  <si>
    <t>Southern No</t>
  </si>
  <si>
    <t>Southern S</t>
  </si>
  <si>
    <t>Southern BOS</t>
  </si>
  <si>
    <t>LSU System Total</t>
  </si>
  <si>
    <t>LSU at Alexandria</t>
  </si>
  <si>
    <t>LSU at Shreveport</t>
  </si>
  <si>
    <t>LSU at Eunice</t>
  </si>
  <si>
    <t>CHANGE</t>
  </si>
  <si>
    <t xml:space="preserve">LSU Law </t>
  </si>
  <si>
    <t>LSU HSC NO</t>
  </si>
  <si>
    <t>LSU BOS</t>
  </si>
  <si>
    <t xml:space="preserve">  Other Self-Generated </t>
  </si>
  <si>
    <t>2008-09</t>
  </si>
  <si>
    <t>2007-08*</t>
  </si>
  <si>
    <t>Internet Fee</t>
  </si>
  <si>
    <t>Other Total</t>
  </si>
  <si>
    <t>Interim Emergency Board</t>
  </si>
  <si>
    <t>Institution:  E.A. Conway</t>
  </si>
  <si>
    <t xml:space="preserve">Board of Regents </t>
  </si>
  <si>
    <t>Institution:  Huey P Long</t>
  </si>
  <si>
    <t xml:space="preserve">    Other Total (Excess Self Gen Revenue)</t>
  </si>
  <si>
    <t xml:space="preserve">    Other Total (Misc. - Contra Rev/Katrina)</t>
  </si>
  <si>
    <t xml:space="preserve">LSU HSC 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</si>
</sst>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_);[Red]\(0.00\)"/>
    <numFmt numFmtId="169" formatCode="_([$$-409]* #,##0_);_([$$-409]* \(#,##0\);_([$$-409]* &quot;-&quot;_);_(@_)"/>
    <numFmt numFmtId="170" formatCode="&quot;$&quot;#,##0.00"/>
    <numFmt numFmtId="171" formatCode="0.0%"/>
    <numFmt numFmtId="172" formatCode="0_);\(0\)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4.2"/>
      <color indexed="12"/>
      <name val="Arial"/>
      <family val="0"/>
    </font>
    <font>
      <u val="single"/>
      <sz val="4.2"/>
      <color indexed="36"/>
      <name val="Arial"/>
      <family val="0"/>
    </font>
    <font>
      <sz val="28"/>
      <color indexed="10"/>
      <name val="Arial"/>
      <family val="2"/>
    </font>
    <font>
      <sz val="26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26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sz val="16"/>
      <color indexed="10"/>
      <name val="Arial"/>
      <family val="2"/>
    </font>
    <font>
      <b/>
      <sz val="44"/>
      <name val="Times New Roman"/>
      <family val="1"/>
    </font>
    <font>
      <sz val="44"/>
      <name val="Times New Roman"/>
      <family val="1"/>
    </font>
    <font>
      <sz val="44"/>
      <color indexed="10"/>
      <name val="Times New Roman"/>
      <family val="1"/>
    </font>
    <font>
      <b/>
      <u val="single"/>
      <sz val="4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16"/>
      <name val="Times New Roman"/>
      <family val="1"/>
    </font>
    <font>
      <b/>
      <sz val="40"/>
      <name val="Times New Roman"/>
      <family val="1"/>
    </font>
    <font>
      <b/>
      <sz val="3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3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ck"/>
      <top style="thin">
        <color indexed="8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>
        <color indexed="63"/>
      </top>
      <bottom style="thin"/>
    </border>
    <border>
      <left style="thick"/>
      <right style="thick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ck"/>
      <top style="thin">
        <color indexed="8"/>
      </top>
      <bottom style="thin"/>
    </border>
    <border>
      <left style="medium"/>
      <right style="thin"/>
      <top style="thin">
        <color indexed="8"/>
      </top>
      <bottom style="thick">
        <color indexed="8"/>
      </bottom>
    </border>
    <border>
      <left style="thin"/>
      <right style="thin"/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medium"/>
      <top style="medium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ck"/>
      <top style="thin">
        <color indexed="8"/>
      </top>
      <bottom>
        <color indexed="63"/>
      </bottom>
    </border>
    <border>
      <left style="thick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ck">
        <color indexed="8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>
        <color indexed="8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n"/>
      <bottom style="thin">
        <color indexed="8"/>
      </bottom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>
        <color indexed="8"/>
      </right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1" fillId="20" borderId="1" applyFont="0" applyFill="0" applyBorder="0">
      <alignment/>
      <protection/>
    </xf>
    <xf numFmtId="0" fontId="40" fillId="21" borderId="2" applyNumberFormat="0" applyAlignment="0" applyProtection="0"/>
    <xf numFmtId="0" fontId="41" fillId="22" borderId="3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7" borderId="2" applyNumberFormat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24" borderId="8" applyNumberFormat="0" applyFont="0" applyAlignment="0" applyProtection="0"/>
    <xf numFmtId="0" fontId="50" fillId="21" borderId="9" applyNumberFormat="0" applyAlignment="0" applyProtection="0"/>
    <xf numFmtId="9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>
      <alignment/>
    </xf>
    <xf numFmtId="3" fontId="6" fillId="0" borderId="18" xfId="0" applyNumberFormat="1" applyFont="1" applyBorder="1" applyAlignment="1" applyProtection="1">
      <alignment/>
      <protection locked="0"/>
    </xf>
    <xf numFmtId="10" fontId="5" fillId="0" borderId="12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5" fillId="0" borderId="13" xfId="0" applyNumberFormat="1" applyFont="1" applyBorder="1" applyAlignment="1">
      <alignment/>
    </xf>
    <xf numFmtId="10" fontId="9" fillId="0" borderId="15" xfId="0" applyNumberFormat="1" applyFont="1" applyBorder="1" applyAlignment="1">
      <alignment horizontal="center"/>
    </xf>
    <xf numFmtId="10" fontId="9" fillId="0" borderId="16" xfId="0" applyNumberFormat="1" applyFont="1" applyBorder="1" applyAlignment="1">
      <alignment horizontal="center"/>
    </xf>
    <xf numFmtId="10" fontId="6" fillId="0" borderId="14" xfId="0" applyNumberFormat="1" applyFont="1" applyBorder="1" applyAlignment="1">
      <alignment/>
    </xf>
    <xf numFmtId="10" fontId="6" fillId="0" borderId="16" xfId="0" applyNumberFormat="1" applyFont="1" applyBorder="1" applyAlignment="1" applyProtection="1">
      <alignment/>
      <protection locked="0"/>
    </xf>
    <xf numFmtId="10" fontId="6" fillId="0" borderId="18" xfId="0" applyNumberFormat="1" applyFont="1" applyBorder="1" applyAlignment="1" applyProtection="1">
      <alignment/>
      <protection locked="0"/>
    </xf>
    <xf numFmtId="10" fontId="6" fillId="0" borderId="14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10" fontId="6" fillId="0" borderId="19" xfId="0" applyNumberFormat="1" applyFont="1" applyBorder="1" applyAlignment="1" applyProtection="1">
      <alignment/>
      <protection locked="0"/>
    </xf>
    <xf numFmtId="0" fontId="9" fillId="0" borderId="20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23" xfId="0" applyNumberFormat="1" applyFont="1" applyFill="1" applyBorder="1" applyAlignment="1">
      <alignment/>
    </xf>
    <xf numFmtId="0" fontId="10" fillId="0" borderId="23" xfId="0" applyNumberFormat="1" applyFont="1" applyBorder="1" applyAlignment="1">
      <alignment/>
    </xf>
    <xf numFmtId="0" fontId="9" fillId="0" borderId="21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9" fillId="0" borderId="23" xfId="0" applyNumberFormat="1" applyFont="1" applyFill="1" applyBorder="1" applyAlignment="1">
      <alignment/>
    </xf>
    <xf numFmtId="0" fontId="10" fillId="0" borderId="21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" fontId="6" fillId="0" borderId="27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10" fontId="0" fillId="0" borderId="31" xfId="0" applyNumberFormat="1" applyFont="1" applyBorder="1" applyAlignment="1">
      <alignment/>
    </xf>
    <xf numFmtId="3" fontId="6" fillId="0" borderId="32" xfId="0" applyNumberFormat="1" applyFont="1" applyBorder="1" applyAlignment="1" applyProtection="1">
      <alignment/>
      <protection locked="0"/>
    </xf>
    <xf numFmtId="10" fontId="6" fillId="0" borderId="33" xfId="0" applyNumberFormat="1" applyFont="1" applyBorder="1" applyAlignment="1" applyProtection="1">
      <alignment/>
      <protection locked="0"/>
    </xf>
    <xf numFmtId="10" fontId="6" fillId="0" borderId="34" xfId="0" applyNumberFormat="1" applyFont="1" applyBorder="1" applyAlignment="1" applyProtection="1">
      <alignment/>
      <protection locked="0"/>
    </xf>
    <xf numFmtId="10" fontId="6" fillId="0" borderId="35" xfId="0" applyNumberFormat="1" applyFont="1" applyBorder="1" applyAlignment="1" applyProtection="1">
      <alignment/>
      <protection locked="0"/>
    </xf>
    <xf numFmtId="10" fontId="6" fillId="0" borderId="36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20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/>
    </xf>
    <xf numFmtId="0" fontId="10" fillId="0" borderId="19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164" fontId="10" fillId="0" borderId="22" xfId="0" applyNumberFormat="1" applyFont="1" applyBorder="1" applyAlignment="1">
      <alignment/>
    </xf>
    <xf numFmtId="1" fontId="10" fillId="0" borderId="19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64" fontId="10" fillId="0" borderId="33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164" fontId="10" fillId="0" borderId="21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3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164" fontId="17" fillId="0" borderId="0" xfId="0" applyNumberFormat="1" applyFont="1" applyBorder="1" applyAlignment="1">
      <alignment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0" fontId="10" fillId="0" borderId="47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9" fillId="0" borderId="48" xfId="0" applyNumberFormat="1" applyFont="1" applyBorder="1" applyAlignment="1">
      <alignment horizontal="center"/>
    </xf>
    <xf numFmtId="164" fontId="10" fillId="0" borderId="4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0" fontId="9" fillId="0" borderId="27" xfId="0" applyNumberFormat="1" applyFont="1" applyBorder="1" applyAlignment="1">
      <alignment/>
    </xf>
    <xf numFmtId="0" fontId="10" fillId="0" borderId="27" xfId="0" applyNumberFormat="1" applyFont="1" applyBorder="1" applyAlignment="1">
      <alignment/>
    </xf>
    <xf numFmtId="0" fontId="10" fillId="0" borderId="27" xfId="0" applyNumberFormat="1" applyFont="1" applyFill="1" applyBorder="1" applyAlignment="1">
      <alignment/>
    </xf>
    <xf numFmtId="0" fontId="9" fillId="0" borderId="50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/>
    </xf>
    <xf numFmtId="0" fontId="10" fillId="0" borderId="51" xfId="0" applyNumberFormat="1" applyFont="1" applyFill="1" applyBorder="1" applyAlignment="1">
      <alignment/>
    </xf>
    <xf numFmtId="0" fontId="10" fillId="0" borderId="51" xfId="0" applyNumberFormat="1" applyFont="1" applyBorder="1" applyAlignment="1">
      <alignment/>
    </xf>
    <xf numFmtId="0" fontId="9" fillId="0" borderId="27" xfId="0" applyNumberFormat="1" applyFont="1" applyFill="1" applyBorder="1" applyAlignment="1">
      <alignment/>
    </xf>
    <xf numFmtId="0" fontId="10" fillId="0" borderId="52" xfId="0" applyNumberFormat="1" applyFont="1" applyBorder="1" applyAlignment="1">
      <alignment/>
    </xf>
    <xf numFmtId="0" fontId="9" fillId="0" borderId="51" xfId="0" applyNumberFormat="1" applyFont="1" applyFill="1" applyBorder="1" applyAlignment="1">
      <alignment/>
    </xf>
    <xf numFmtId="0" fontId="10" fillId="0" borderId="27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0" fontId="9" fillId="0" borderId="53" xfId="0" applyNumberFormat="1" applyFont="1" applyBorder="1" applyAlignment="1">
      <alignment/>
    </xf>
    <xf numFmtId="0" fontId="9" fillId="0" borderId="54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0" fontId="9" fillId="0" borderId="56" xfId="0" applyNumberFormat="1" applyFont="1" applyBorder="1" applyAlignment="1">
      <alignment/>
    </xf>
    <xf numFmtId="0" fontId="10" fillId="0" borderId="56" xfId="0" applyNumberFormat="1" applyFont="1" applyBorder="1" applyAlignment="1">
      <alignment/>
    </xf>
    <xf numFmtId="0" fontId="10" fillId="0" borderId="57" xfId="0" applyNumberFormat="1" applyFont="1" applyFill="1" applyBorder="1" applyAlignment="1">
      <alignment/>
    </xf>
    <xf numFmtId="0" fontId="9" fillId="0" borderId="58" xfId="0" applyNumberFormat="1" applyFont="1" applyBorder="1" applyAlignment="1">
      <alignment/>
    </xf>
    <xf numFmtId="0" fontId="10" fillId="0" borderId="58" xfId="0" applyNumberFormat="1" applyFont="1" applyFill="1" applyBorder="1" applyAlignment="1">
      <alignment/>
    </xf>
    <xf numFmtId="0" fontId="10" fillId="0" borderId="59" xfId="0" applyNumberFormat="1" applyFont="1" applyBorder="1" applyAlignment="1">
      <alignment/>
    </xf>
    <xf numFmtId="0" fontId="10" fillId="0" borderId="60" xfId="0" applyNumberFormat="1" applyFont="1" applyBorder="1" applyAlignment="1">
      <alignment/>
    </xf>
    <xf numFmtId="0" fontId="9" fillId="0" borderId="57" xfId="0" applyNumberFormat="1" applyFont="1" applyFill="1" applyBorder="1" applyAlignment="1">
      <alignment/>
    </xf>
    <xf numFmtId="0" fontId="10" fillId="0" borderId="58" xfId="0" applyNumberFormat="1" applyFont="1" applyBorder="1" applyAlignment="1">
      <alignment/>
    </xf>
    <xf numFmtId="0" fontId="9" fillId="0" borderId="56" xfId="0" applyNumberFormat="1" applyFont="1" applyBorder="1" applyAlignment="1">
      <alignment/>
    </xf>
    <xf numFmtId="0" fontId="9" fillId="0" borderId="61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37" fontId="13" fillId="0" borderId="62" xfId="0" applyNumberFormat="1" applyFont="1" applyBorder="1" applyAlignment="1">
      <alignment/>
    </xf>
    <xf numFmtId="0" fontId="13" fillId="0" borderId="62" xfId="0" applyNumberFormat="1" applyFont="1" applyBorder="1" applyAlignment="1">
      <alignment/>
    </xf>
    <xf numFmtId="0" fontId="8" fillId="0" borderId="63" xfId="0" applyNumberFormat="1" applyFont="1" applyBorder="1" applyAlignment="1">
      <alignment horizontal="left"/>
    </xf>
    <xf numFmtId="37" fontId="8" fillId="0" borderId="64" xfId="0" applyNumberFormat="1" applyFont="1" applyBorder="1" applyAlignment="1">
      <alignment/>
    </xf>
    <xf numFmtId="0" fontId="8" fillId="0" borderId="64" xfId="0" applyNumberFormat="1" applyFont="1" applyBorder="1" applyAlignment="1">
      <alignment/>
    </xf>
    <xf numFmtId="0" fontId="13" fillId="0" borderId="65" xfId="0" applyNumberFormat="1" applyFont="1" applyBorder="1" applyAlignment="1">
      <alignment horizontal="right"/>
    </xf>
    <xf numFmtId="0" fontId="10" fillId="0" borderId="65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/>
    </xf>
    <xf numFmtId="0" fontId="10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7" xfId="0" applyNumberFormat="1" applyFont="1" applyBorder="1" applyAlignment="1">
      <alignment/>
    </xf>
    <xf numFmtId="0" fontId="8" fillId="0" borderId="68" xfId="0" applyNumberFormat="1" applyFont="1" applyBorder="1" applyAlignment="1">
      <alignment horizontal="left"/>
    </xf>
    <xf numFmtId="0" fontId="13" fillId="0" borderId="69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/>
    </xf>
    <xf numFmtId="0" fontId="0" fillId="0" borderId="69" xfId="0" applyNumberFormat="1" applyFont="1" applyBorder="1" applyAlignment="1">
      <alignment horizontal="left"/>
    </xf>
    <xf numFmtId="0" fontId="0" fillId="0" borderId="69" xfId="0" applyNumberFormat="1" applyFont="1" applyBorder="1" applyAlignment="1">
      <alignment/>
    </xf>
    <xf numFmtId="0" fontId="10" fillId="0" borderId="69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65" fontId="10" fillId="0" borderId="62" xfId="0" applyNumberFormat="1" applyFont="1" applyBorder="1" applyAlignment="1">
      <alignment/>
    </xf>
    <xf numFmtId="165" fontId="10" fillId="0" borderId="62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10" fillId="0" borderId="62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9" fillId="0" borderId="65" xfId="0" applyNumberFormat="1" applyFont="1" applyBorder="1" applyAlignment="1">
      <alignment/>
    </xf>
    <xf numFmtId="0" fontId="9" fillId="0" borderId="69" xfId="0" applyNumberFormat="1" applyFont="1" applyBorder="1" applyAlignment="1">
      <alignment/>
    </xf>
    <xf numFmtId="165" fontId="9" fillId="0" borderId="62" xfId="0" applyNumberFormat="1" applyFont="1" applyBorder="1" applyAlignment="1">
      <alignment/>
    </xf>
    <xf numFmtId="165" fontId="10" fillId="0" borderId="70" xfId="0" applyNumberFormat="1" applyFont="1" applyBorder="1" applyAlignment="1">
      <alignment/>
    </xf>
    <xf numFmtId="165" fontId="10" fillId="0" borderId="49" xfId="0" applyNumberFormat="1" applyFont="1" applyBorder="1" applyAlignment="1">
      <alignment/>
    </xf>
    <xf numFmtId="165" fontId="10" fillId="0" borderId="70" xfId="0" applyNumberFormat="1" applyFont="1" applyBorder="1" applyAlignment="1">
      <alignment/>
    </xf>
    <xf numFmtId="165" fontId="9" fillId="0" borderId="70" xfId="0" applyNumberFormat="1" applyFont="1" applyBorder="1" applyAlignment="1">
      <alignment/>
    </xf>
    <xf numFmtId="165" fontId="9" fillId="0" borderId="71" xfId="0" applyNumberFormat="1" applyFont="1" applyBorder="1" applyAlignment="1">
      <alignment/>
    </xf>
    <xf numFmtId="165" fontId="9" fillId="0" borderId="60" xfId="0" applyNumberFormat="1" applyFont="1" applyBorder="1" applyAlignment="1">
      <alignment/>
    </xf>
    <xf numFmtId="165" fontId="10" fillId="0" borderId="49" xfId="0" applyNumberFormat="1" applyFont="1" applyBorder="1" applyAlignment="1">
      <alignment/>
    </xf>
    <xf numFmtId="165" fontId="10" fillId="0" borderId="71" xfId="0" applyNumberFormat="1" applyFont="1" applyBorder="1" applyAlignment="1">
      <alignment/>
    </xf>
    <xf numFmtId="165" fontId="9" fillId="0" borderId="72" xfId="0" applyNumberFormat="1" applyFont="1" applyBorder="1" applyAlignment="1">
      <alignment/>
    </xf>
    <xf numFmtId="0" fontId="18" fillId="0" borderId="0" xfId="0" applyFont="1" applyAlignment="1">
      <alignment/>
    </xf>
    <xf numFmtId="165" fontId="10" fillId="0" borderId="73" xfId="0" applyNumberFormat="1" applyFont="1" applyBorder="1" applyAlignment="1">
      <alignment/>
    </xf>
    <xf numFmtId="165" fontId="10" fillId="0" borderId="74" xfId="0" applyNumberFormat="1" applyFont="1" applyBorder="1" applyAlignment="1">
      <alignment/>
    </xf>
    <xf numFmtId="165" fontId="10" fillId="0" borderId="55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24" xfId="0" applyNumberFormat="1" applyFont="1" applyBorder="1" applyAlignment="1">
      <alignment/>
    </xf>
    <xf numFmtId="165" fontId="10" fillId="0" borderId="22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10" fillId="0" borderId="23" xfId="0" applyNumberFormat="1" applyFont="1" applyBorder="1" applyAlignment="1">
      <alignment/>
    </xf>
    <xf numFmtId="165" fontId="9" fillId="0" borderId="25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25" xfId="0" applyNumberFormat="1" applyFont="1" applyBorder="1" applyAlignment="1">
      <alignment/>
    </xf>
    <xf numFmtId="165" fontId="9" fillId="0" borderId="26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Border="1" applyAlignment="1">
      <alignment/>
    </xf>
    <xf numFmtId="165" fontId="18" fillId="0" borderId="75" xfId="0" applyNumberFormat="1" applyFont="1" applyBorder="1" applyAlignment="1">
      <alignment horizontal="right"/>
    </xf>
    <xf numFmtId="165" fontId="18" fillId="0" borderId="75" xfId="43" applyNumberFormat="1" applyFont="1" applyBorder="1" applyAlignment="1">
      <alignment horizontal="right"/>
    </xf>
    <xf numFmtId="165" fontId="21" fillId="0" borderId="75" xfId="0" applyNumberFormat="1" applyFont="1" applyBorder="1" applyAlignment="1">
      <alignment horizontal="right"/>
    </xf>
    <xf numFmtId="165" fontId="21" fillId="0" borderId="76" xfId="43" applyNumberFormat="1" applyFont="1" applyBorder="1" applyAlignment="1">
      <alignment horizontal="right"/>
    </xf>
    <xf numFmtId="165" fontId="13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5" borderId="21" xfId="0" applyNumberFormat="1" applyFont="1" applyFill="1" applyBorder="1" applyAlignment="1">
      <alignment/>
    </xf>
    <xf numFmtId="0" fontId="10" fillId="25" borderId="21" xfId="0" applyNumberFormat="1" applyFont="1" applyFill="1" applyBorder="1" applyAlignment="1">
      <alignment/>
    </xf>
    <xf numFmtId="0" fontId="10" fillId="25" borderId="25" xfId="0" applyNumberFormat="1" applyFont="1" applyFill="1" applyBorder="1" applyAlignment="1">
      <alignment/>
    </xf>
    <xf numFmtId="0" fontId="9" fillId="25" borderId="23" xfId="0" applyNumberFormat="1" applyFont="1" applyFill="1" applyBorder="1" applyAlignment="1">
      <alignment/>
    </xf>
    <xf numFmtId="0" fontId="9" fillId="25" borderId="26" xfId="0" applyNumberFormat="1" applyFont="1" applyFill="1" applyBorder="1" applyAlignment="1">
      <alignment/>
    </xf>
    <xf numFmtId="0" fontId="0" fillId="25" borderId="0" xfId="0" applyNumberFormat="1" applyFont="1" applyFill="1" applyAlignment="1">
      <alignment horizontal="center"/>
    </xf>
    <xf numFmtId="0" fontId="9" fillId="25" borderId="77" xfId="0" applyNumberFormat="1" applyFont="1" applyFill="1" applyBorder="1" applyAlignment="1">
      <alignment horizontal="left"/>
    </xf>
    <xf numFmtId="0" fontId="10" fillId="25" borderId="78" xfId="0" applyNumberFormat="1" applyFont="1" applyFill="1" applyBorder="1" applyAlignment="1">
      <alignment/>
    </xf>
    <xf numFmtId="0" fontId="10" fillId="25" borderId="65" xfId="0" applyNumberFormat="1" applyFont="1" applyFill="1" applyBorder="1" applyAlignment="1">
      <alignment horizontal="left"/>
    </xf>
    <xf numFmtId="3" fontId="10" fillId="25" borderId="27" xfId="0" applyNumberFormat="1" applyFont="1" applyFill="1" applyBorder="1" applyAlignment="1">
      <alignment horizontal="center"/>
    </xf>
    <xf numFmtId="0" fontId="10" fillId="25" borderId="65" xfId="0" applyNumberFormat="1" applyFont="1" applyFill="1" applyBorder="1" applyAlignment="1">
      <alignment horizontal="left" indent="2"/>
    </xf>
    <xf numFmtId="0" fontId="0" fillId="25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9" fillId="0" borderId="54" xfId="0" applyNumberFormat="1" applyFont="1" applyBorder="1" applyAlignment="1">
      <alignment horizontal="center"/>
    </xf>
    <xf numFmtId="165" fontId="9" fillId="0" borderId="48" xfId="0" applyNumberFormat="1" applyFont="1" applyBorder="1" applyAlignment="1">
      <alignment horizontal="center"/>
    </xf>
    <xf numFmtId="165" fontId="9" fillId="0" borderId="79" xfId="0" applyNumberFormat="1" applyFont="1" applyBorder="1" applyAlignment="1">
      <alignment horizontal="center"/>
    </xf>
    <xf numFmtId="165" fontId="9" fillId="0" borderId="49" xfId="0" applyNumberFormat="1" applyFont="1" applyBorder="1" applyAlignment="1">
      <alignment horizontal="center"/>
    </xf>
    <xf numFmtId="165" fontId="13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6" fillId="0" borderId="14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13" xfId="0" applyNumberFormat="1" applyFont="1" applyBorder="1" applyAlignment="1">
      <alignment/>
    </xf>
    <xf numFmtId="165" fontId="9" fillId="0" borderId="15" xfId="0" applyNumberFormat="1" applyFont="1" applyBorder="1" applyAlignment="1">
      <alignment horizontal="center"/>
    </xf>
    <xf numFmtId="165" fontId="1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0" fillId="0" borderId="80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left" indent="5"/>
    </xf>
    <xf numFmtId="0" fontId="10" fillId="0" borderId="25" xfId="0" applyNumberFormat="1" applyFont="1" applyBorder="1" applyAlignment="1" quotePrefix="1">
      <alignment horizontal="left"/>
    </xf>
    <xf numFmtId="0" fontId="10" fillId="0" borderId="24" xfId="0" applyNumberFormat="1" applyFont="1" applyBorder="1" applyAlignment="1">
      <alignment horizontal="left" indent="5"/>
    </xf>
    <xf numFmtId="0" fontId="9" fillId="0" borderId="37" xfId="59" applyNumberFormat="1" applyFont="1" applyBorder="1" applyAlignment="1">
      <alignment/>
      <protection/>
    </xf>
    <xf numFmtId="0" fontId="10" fillId="0" borderId="27" xfId="59" applyNumberFormat="1" applyFont="1" applyBorder="1" applyAlignment="1">
      <alignment/>
      <protection/>
    </xf>
    <xf numFmtId="0" fontId="10" fillId="0" borderId="37" xfId="59" applyNumberFormat="1" applyFont="1" applyBorder="1" applyAlignment="1">
      <alignment/>
      <protection/>
    </xf>
    <xf numFmtId="0" fontId="10" fillId="0" borderId="51" xfId="59" applyNumberFormat="1" applyFont="1" applyFill="1" applyBorder="1" applyAlignment="1">
      <alignment/>
      <protection/>
    </xf>
    <xf numFmtId="0" fontId="10" fillId="0" borderId="51" xfId="59" applyNumberFormat="1" applyFont="1" applyBorder="1" applyAlignment="1">
      <alignment/>
      <protection/>
    </xf>
    <xf numFmtId="0" fontId="9" fillId="0" borderId="27" xfId="59" applyNumberFormat="1" applyFont="1" applyFill="1" applyBorder="1" applyAlignment="1">
      <alignment/>
      <protection/>
    </xf>
    <xf numFmtId="0" fontId="9" fillId="0" borderId="27" xfId="59" applyNumberFormat="1" applyFont="1" applyBorder="1" applyAlignment="1">
      <alignment/>
      <protection/>
    </xf>
    <xf numFmtId="0" fontId="10" fillId="0" borderId="27" xfId="59" applyNumberFormat="1" applyFont="1" applyFill="1" applyBorder="1" applyAlignment="1">
      <alignment/>
      <protection/>
    </xf>
    <xf numFmtId="0" fontId="10" fillId="0" borderId="52" xfId="59" applyNumberFormat="1" applyFont="1" applyBorder="1" applyAlignment="1">
      <alignment/>
      <protection/>
    </xf>
    <xf numFmtId="0" fontId="10" fillId="0" borderId="47" xfId="59" applyNumberFormat="1" applyFont="1" applyBorder="1" applyAlignment="1">
      <alignment/>
      <protection/>
    </xf>
    <xf numFmtId="0" fontId="9" fillId="0" borderId="51" xfId="59" applyNumberFormat="1" applyFont="1" applyFill="1" applyBorder="1" applyAlignment="1">
      <alignment/>
      <protection/>
    </xf>
    <xf numFmtId="0" fontId="10" fillId="0" borderId="27" xfId="59" applyNumberFormat="1" applyFont="1" applyBorder="1">
      <alignment/>
      <protection/>
    </xf>
    <xf numFmtId="0" fontId="9" fillId="0" borderId="37" xfId="59" applyNumberFormat="1" applyFont="1" applyBorder="1">
      <alignment/>
      <protection/>
    </xf>
    <xf numFmtId="0" fontId="10" fillId="0" borderId="37" xfId="59" applyNumberFormat="1" applyFont="1" applyBorder="1" applyAlignment="1" quotePrefix="1">
      <alignment horizontal="left"/>
      <protection/>
    </xf>
    <xf numFmtId="0" fontId="9" fillId="0" borderId="53" xfId="59" applyNumberFormat="1" applyFont="1" applyBorder="1" applyAlignment="1">
      <alignment/>
      <protection/>
    </xf>
    <xf numFmtId="41" fontId="10" fillId="0" borderId="22" xfId="59" applyNumberFormat="1" applyFont="1" applyBorder="1">
      <alignment/>
      <protection/>
    </xf>
    <xf numFmtId="41" fontId="10" fillId="0" borderId="19" xfId="59" applyNumberFormat="1" applyFont="1" applyBorder="1">
      <alignment/>
      <protection/>
    </xf>
    <xf numFmtId="41" fontId="10" fillId="0" borderId="21" xfId="59" applyNumberFormat="1" applyFont="1" applyBorder="1" applyAlignment="1">
      <alignment/>
      <protection/>
    </xf>
    <xf numFmtId="41" fontId="10" fillId="0" borderId="33" xfId="59" applyNumberFormat="1" applyFont="1" applyBorder="1" applyAlignment="1">
      <alignment/>
      <protection/>
    </xf>
    <xf numFmtId="41" fontId="10" fillId="0" borderId="22" xfId="43" applyNumberFormat="1" applyFont="1" applyBorder="1" applyAlignment="1">
      <alignment/>
    </xf>
    <xf numFmtId="41" fontId="10" fillId="0" borderId="24" xfId="43" applyNumberFormat="1" applyFont="1" applyBorder="1" applyAlignment="1">
      <alignment/>
    </xf>
    <xf numFmtId="41" fontId="10" fillId="0" borderId="23" xfId="43" applyNumberFormat="1" applyFont="1" applyBorder="1" applyAlignment="1">
      <alignment/>
    </xf>
    <xf numFmtId="41" fontId="10" fillId="0" borderId="21" xfId="59" applyNumberFormat="1" applyFont="1" applyBorder="1">
      <alignment/>
      <protection/>
    </xf>
    <xf numFmtId="41" fontId="10" fillId="0" borderId="25" xfId="59" applyNumberFormat="1" applyFont="1" applyBorder="1" applyAlignment="1">
      <alignment/>
      <protection/>
    </xf>
    <xf numFmtId="41" fontId="10" fillId="0" borderId="42" xfId="59" applyNumberFormat="1" applyFont="1" applyBorder="1" applyAlignment="1">
      <alignment/>
      <protection/>
    </xf>
    <xf numFmtId="41" fontId="10" fillId="0" borderId="81" xfId="0" applyNumberFormat="1" applyFont="1" applyBorder="1" applyAlignment="1">
      <alignment/>
    </xf>
    <xf numFmtId="41" fontId="10" fillId="0" borderId="24" xfId="0" applyNumberFormat="1" applyFont="1" applyBorder="1" applyAlignment="1">
      <alignment/>
    </xf>
    <xf numFmtId="0" fontId="22" fillId="0" borderId="82" xfId="0" applyNumberFormat="1" applyFont="1" applyBorder="1" applyAlignment="1">
      <alignment/>
    </xf>
    <xf numFmtId="0" fontId="23" fillId="0" borderId="62" xfId="0" applyNumberFormat="1" applyFont="1" applyBorder="1" applyAlignment="1">
      <alignment/>
    </xf>
    <xf numFmtId="0" fontId="22" fillId="0" borderId="62" xfId="0" applyNumberFormat="1" applyFont="1" applyBorder="1" applyAlignment="1">
      <alignment/>
    </xf>
    <xf numFmtId="0" fontId="23" fillId="0" borderId="62" xfId="0" applyNumberFormat="1" applyFont="1" applyFill="1" applyBorder="1" applyAlignment="1">
      <alignment/>
    </xf>
    <xf numFmtId="0" fontId="22" fillId="0" borderId="83" xfId="0" applyNumberFormat="1" applyFont="1" applyBorder="1" applyAlignment="1">
      <alignment/>
    </xf>
    <xf numFmtId="41" fontId="23" fillId="0" borderId="82" xfId="0" applyNumberFormat="1" applyFont="1" applyBorder="1" applyAlignment="1">
      <alignment/>
    </xf>
    <xf numFmtId="41" fontId="23" fillId="0" borderId="84" xfId="0" applyNumberFormat="1" applyFont="1" applyBorder="1" applyAlignment="1">
      <alignment/>
    </xf>
    <xf numFmtId="41" fontId="23" fillId="0" borderId="69" xfId="0" applyNumberFormat="1" applyFont="1" applyBorder="1" applyAlignment="1">
      <alignment/>
    </xf>
    <xf numFmtId="41" fontId="23" fillId="0" borderId="85" xfId="0" applyNumberFormat="1" applyFont="1" applyBorder="1" applyAlignment="1">
      <alignment/>
    </xf>
    <xf numFmtId="41" fontId="23" fillId="0" borderId="62" xfId="0" applyNumberFormat="1" applyFont="1" applyBorder="1" applyAlignment="1">
      <alignment/>
    </xf>
    <xf numFmtId="41" fontId="22" fillId="0" borderId="83" xfId="0" applyNumberFormat="1" applyFont="1" applyBorder="1" applyAlignment="1">
      <alignment/>
    </xf>
    <xf numFmtId="41" fontId="23" fillId="0" borderId="86" xfId="0" applyNumberFormat="1" applyFont="1" applyBorder="1" applyAlignment="1">
      <alignment/>
    </xf>
    <xf numFmtId="41" fontId="23" fillId="0" borderId="87" xfId="0" applyNumberFormat="1" applyFont="1" applyBorder="1" applyAlignment="1">
      <alignment/>
    </xf>
    <xf numFmtId="41" fontId="23" fillId="0" borderId="88" xfId="0" applyNumberFormat="1" applyFont="1" applyBorder="1" applyAlignment="1">
      <alignment/>
    </xf>
    <xf numFmtId="41" fontId="23" fillId="0" borderId="85" xfId="0" applyNumberFormat="1" applyFont="1" applyFill="1" applyBorder="1" applyAlignment="1">
      <alignment/>
    </xf>
    <xf numFmtId="41" fontId="23" fillId="0" borderId="62" xfId="0" applyNumberFormat="1" applyFont="1" applyFill="1" applyBorder="1" applyAlignment="1">
      <alignment/>
    </xf>
    <xf numFmtId="37" fontId="22" fillId="0" borderId="62" xfId="0" applyNumberFormat="1" applyFont="1" applyBorder="1" applyAlignment="1">
      <alignment/>
    </xf>
    <xf numFmtId="37" fontId="22" fillId="0" borderId="83" xfId="0" applyNumberFormat="1" applyFont="1" applyBorder="1" applyAlignment="1">
      <alignment/>
    </xf>
    <xf numFmtId="41" fontId="23" fillId="0" borderId="83" xfId="0" applyNumberFormat="1" applyFont="1" applyBorder="1" applyAlignment="1">
      <alignment/>
    </xf>
    <xf numFmtId="41" fontId="22" fillId="0" borderId="62" xfId="0" applyNumberFormat="1" applyFont="1" applyBorder="1" applyAlignment="1">
      <alignment/>
    </xf>
    <xf numFmtId="37" fontId="9" fillId="0" borderId="83" xfId="0" applyNumberFormat="1" applyFont="1" applyBorder="1" applyAlignment="1" applyProtection="1">
      <alignment/>
      <protection locked="0"/>
    </xf>
    <xf numFmtId="37" fontId="10" fillId="0" borderId="85" xfId="0" applyNumberFormat="1" applyFont="1" applyBorder="1" applyAlignment="1" applyProtection="1">
      <alignment/>
      <protection locked="0"/>
    </xf>
    <xf numFmtId="37" fontId="10" fillId="0" borderId="62" xfId="0" applyNumberFormat="1" applyFont="1" applyBorder="1" applyAlignment="1" applyProtection="1">
      <alignment/>
      <protection locked="0"/>
    </xf>
    <xf numFmtId="37" fontId="9" fillId="0" borderId="62" xfId="0" applyNumberFormat="1" applyFont="1" applyBorder="1" applyAlignment="1" applyProtection="1">
      <alignment/>
      <protection locked="0"/>
    </xf>
    <xf numFmtId="37" fontId="9" fillId="0" borderId="89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9" fillId="0" borderId="83" xfId="0" applyNumberFormat="1" applyFont="1" applyBorder="1" applyAlignment="1" applyProtection="1">
      <alignment horizontal="left"/>
      <protection locked="0"/>
    </xf>
    <xf numFmtId="37" fontId="10" fillId="0" borderId="83" xfId="0" applyNumberFormat="1" applyFont="1" applyBorder="1" applyAlignment="1" applyProtection="1">
      <alignment/>
      <protection locked="0"/>
    </xf>
    <xf numFmtId="37" fontId="10" fillId="0" borderId="88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8" fillId="0" borderId="23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/>
    </xf>
    <xf numFmtId="3" fontId="10" fillId="0" borderId="23" xfId="0" applyNumberFormat="1" applyFont="1" applyBorder="1" applyAlignment="1">
      <alignment/>
    </xf>
    <xf numFmtId="37" fontId="10" fillId="0" borderId="19" xfId="0" applyNumberFormat="1" applyFont="1" applyBorder="1" applyAlignment="1">
      <alignment/>
    </xf>
    <xf numFmtId="37" fontId="10" fillId="0" borderId="33" xfId="0" applyNumberFormat="1" applyFont="1" applyBorder="1" applyAlignment="1">
      <alignment/>
    </xf>
    <xf numFmtId="37" fontId="10" fillId="0" borderId="90" xfId="0" applyNumberFormat="1" applyFont="1" applyBorder="1" applyAlignment="1">
      <alignment/>
    </xf>
    <xf numFmtId="37" fontId="10" fillId="0" borderId="19" xfId="0" applyNumberFormat="1" applyFont="1" applyBorder="1" applyAlignment="1">
      <alignment/>
    </xf>
    <xf numFmtId="37" fontId="10" fillId="0" borderId="21" xfId="0" applyNumberFormat="1" applyFont="1" applyBorder="1" applyAlignment="1">
      <alignment/>
    </xf>
    <xf numFmtId="37" fontId="10" fillId="0" borderId="23" xfId="0" applyNumberFormat="1" applyFont="1" applyBorder="1" applyAlignment="1">
      <alignment/>
    </xf>
    <xf numFmtId="37" fontId="10" fillId="0" borderId="91" xfId="0" applyNumberFormat="1" applyFont="1" applyBorder="1" applyAlignment="1">
      <alignment/>
    </xf>
    <xf numFmtId="37" fontId="10" fillId="0" borderId="32" xfId="0" applyNumberFormat="1" applyFont="1" applyBorder="1" applyAlignment="1">
      <alignment/>
    </xf>
    <xf numFmtId="37" fontId="10" fillId="0" borderId="92" xfId="0" applyNumberFormat="1" applyFont="1" applyBorder="1" applyAlignment="1">
      <alignment/>
    </xf>
    <xf numFmtId="5" fontId="10" fillId="0" borderId="19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10" fillId="0" borderId="70" xfId="61" applyNumberFormat="1" applyFont="1" applyFill="1" applyBorder="1">
      <alignment/>
      <protection/>
    </xf>
    <xf numFmtId="0" fontId="9" fillId="0" borderId="56" xfId="61" applyNumberFormat="1" applyFont="1" applyFill="1" applyBorder="1" applyAlignment="1">
      <alignment/>
      <protection/>
    </xf>
    <xf numFmtId="0" fontId="10" fillId="0" borderId="58" xfId="61" applyNumberFormat="1" applyFont="1" applyFill="1" applyBorder="1" applyAlignment="1">
      <alignment/>
      <protection/>
    </xf>
    <xf numFmtId="0" fontId="10" fillId="0" borderId="60" xfId="61" applyNumberFormat="1" applyFont="1" applyFill="1" applyBorder="1" applyAlignment="1">
      <alignment/>
      <protection/>
    </xf>
    <xf numFmtId="0" fontId="10" fillId="0" borderId="56" xfId="61" applyNumberFormat="1" applyFont="1" applyFill="1" applyBorder="1" applyAlignment="1">
      <alignment/>
      <protection/>
    </xf>
    <xf numFmtId="0" fontId="9" fillId="0" borderId="58" xfId="61" applyNumberFormat="1" applyFont="1" applyFill="1" applyBorder="1" applyAlignment="1">
      <alignment/>
      <protection/>
    </xf>
    <xf numFmtId="0" fontId="10" fillId="0" borderId="59" xfId="61" applyNumberFormat="1" applyFont="1" applyFill="1" applyBorder="1" applyAlignment="1">
      <alignment/>
      <protection/>
    </xf>
    <xf numFmtId="0" fontId="10" fillId="0" borderId="57" xfId="61" applyNumberFormat="1" applyFont="1" applyFill="1" applyBorder="1" applyAlignment="1">
      <alignment/>
      <protection/>
    </xf>
    <xf numFmtId="0" fontId="9" fillId="0" borderId="57" xfId="61" applyNumberFormat="1" applyFont="1" applyFill="1" applyBorder="1" applyAlignment="1">
      <alignment/>
      <protection/>
    </xf>
    <xf numFmtId="0" fontId="10" fillId="0" borderId="58" xfId="61" applyNumberFormat="1" applyFont="1" applyFill="1" applyBorder="1">
      <alignment/>
      <protection/>
    </xf>
    <xf numFmtId="0" fontId="10" fillId="0" borderId="56" xfId="61" applyNumberFormat="1" applyFont="1" applyFill="1" applyBorder="1">
      <alignment/>
      <protection/>
    </xf>
    <xf numFmtId="0" fontId="9" fillId="0" borderId="61" xfId="61" applyNumberFormat="1" applyFont="1" applyFill="1" applyBorder="1" applyAlignment="1">
      <alignment/>
      <protection/>
    </xf>
    <xf numFmtId="0" fontId="10" fillId="0" borderId="93" xfId="61" applyNumberFormat="1" applyFont="1" applyFill="1" applyBorder="1">
      <alignment/>
      <protection/>
    </xf>
    <xf numFmtId="0" fontId="10" fillId="0" borderId="94" xfId="61" applyNumberFormat="1" applyFont="1" applyFill="1" applyBorder="1">
      <alignment/>
      <protection/>
    </xf>
    <xf numFmtId="0" fontId="10" fillId="0" borderId="80" xfId="61" applyNumberFormat="1" applyFont="1" applyFill="1" applyBorder="1">
      <alignment/>
      <protection/>
    </xf>
    <xf numFmtId="164" fontId="10" fillId="0" borderId="49" xfId="61" applyNumberFormat="1" applyFont="1" applyFill="1" applyBorder="1" applyAlignment="1">
      <alignment/>
      <protection/>
    </xf>
    <xf numFmtId="164" fontId="10" fillId="0" borderId="95" xfId="61" applyNumberFormat="1" applyFont="1" applyFill="1" applyBorder="1" applyAlignment="1">
      <alignment/>
      <protection/>
    </xf>
    <xf numFmtId="164" fontId="10" fillId="0" borderId="89" xfId="61" applyNumberFormat="1" applyFont="1" applyFill="1" applyBorder="1" applyAlignment="1">
      <alignment/>
      <protection/>
    </xf>
    <xf numFmtId="164" fontId="10" fillId="0" borderId="96" xfId="61" applyNumberFormat="1" applyFont="1" applyFill="1" applyBorder="1" applyAlignment="1">
      <alignment/>
      <protection/>
    </xf>
    <xf numFmtId="164" fontId="10" fillId="0" borderId="70" xfId="61" applyNumberFormat="1" applyFont="1" applyFill="1" applyBorder="1" applyAlignment="1">
      <alignment/>
      <protection/>
    </xf>
    <xf numFmtId="164" fontId="10" fillId="0" borderId="93" xfId="61" applyNumberFormat="1" applyFont="1" applyFill="1" applyBorder="1" applyAlignment="1">
      <alignment/>
      <protection/>
    </xf>
    <xf numFmtId="164" fontId="10" fillId="0" borderId="94" xfId="61" applyNumberFormat="1" applyFont="1" applyFill="1" applyBorder="1" applyAlignment="1">
      <alignment/>
      <protection/>
    </xf>
    <xf numFmtId="164" fontId="10" fillId="0" borderId="97" xfId="61" applyNumberFormat="1" applyFont="1" applyFill="1" applyBorder="1" applyAlignment="1">
      <alignment/>
      <protection/>
    </xf>
    <xf numFmtId="164" fontId="10" fillId="0" borderId="98" xfId="61" applyNumberFormat="1" applyFont="1" applyFill="1" applyBorder="1" applyAlignment="1">
      <alignment/>
      <protection/>
    </xf>
    <xf numFmtId="164" fontId="10" fillId="0" borderId="71" xfId="61" applyNumberFormat="1" applyFont="1" applyFill="1" applyBorder="1" applyAlignment="1">
      <alignment/>
      <protection/>
    </xf>
    <xf numFmtId="164" fontId="10" fillId="0" borderId="99" xfId="61" applyNumberFormat="1" applyFont="1" applyFill="1" applyBorder="1" applyAlignment="1">
      <alignment/>
      <protection/>
    </xf>
    <xf numFmtId="164" fontId="10" fillId="0" borderId="100" xfId="61" applyNumberFormat="1" applyFont="1" applyFill="1" applyBorder="1" applyAlignment="1">
      <alignment/>
      <protection/>
    </xf>
    <xf numFmtId="164" fontId="10" fillId="0" borderId="80" xfId="61" applyNumberFormat="1" applyFont="1" applyFill="1" applyBorder="1" applyAlignment="1">
      <alignment/>
      <protection/>
    </xf>
    <xf numFmtId="164" fontId="10" fillId="0" borderId="74" xfId="61" applyNumberFormat="1" applyFont="1" applyFill="1" applyBorder="1" applyAlignment="1">
      <alignment/>
      <protection/>
    </xf>
    <xf numFmtId="164" fontId="10" fillId="0" borderId="65" xfId="61" applyNumberFormat="1" applyFont="1" applyFill="1" applyBorder="1" applyAlignment="1">
      <alignment/>
      <protection/>
    </xf>
    <xf numFmtId="164" fontId="10" fillId="0" borderId="62" xfId="61" applyNumberFormat="1" applyFont="1" applyFill="1" applyBorder="1" applyAlignment="1">
      <alignment/>
      <protection/>
    </xf>
    <xf numFmtId="164" fontId="10" fillId="0" borderId="95" xfId="61" applyNumberFormat="1" applyFont="1" applyFill="1" applyBorder="1">
      <alignment/>
      <protection/>
    </xf>
    <xf numFmtId="164" fontId="10" fillId="0" borderId="89" xfId="61" applyNumberFormat="1" applyFont="1" applyFill="1" applyBorder="1">
      <alignment/>
      <protection/>
    </xf>
    <xf numFmtId="164" fontId="10" fillId="0" borderId="101" xfId="61" applyNumberFormat="1" applyFont="1" applyFill="1" applyBorder="1" applyAlignment="1">
      <alignment/>
      <protection/>
    </xf>
    <xf numFmtId="164" fontId="9" fillId="0" borderId="71" xfId="61" applyNumberFormat="1" applyFont="1" applyFill="1" applyBorder="1" applyAlignment="1">
      <alignment/>
      <protection/>
    </xf>
    <xf numFmtId="164" fontId="9" fillId="0" borderId="99" xfId="61" applyNumberFormat="1" applyFont="1" applyFill="1" applyBorder="1" applyAlignment="1">
      <alignment/>
      <protection/>
    </xf>
    <xf numFmtId="164" fontId="9" fillId="0" borderId="100" xfId="61" applyNumberFormat="1" applyFont="1" applyFill="1" applyBorder="1" applyAlignment="1">
      <alignment/>
      <protection/>
    </xf>
    <xf numFmtId="164" fontId="9" fillId="0" borderId="96" xfId="61" applyNumberFormat="1" applyFont="1" applyFill="1" applyBorder="1" applyAlignment="1">
      <alignment/>
      <protection/>
    </xf>
    <xf numFmtId="164" fontId="9" fillId="0" borderId="70" xfId="61" applyNumberFormat="1" applyFont="1" applyFill="1" applyBorder="1" applyAlignment="1">
      <alignment/>
      <protection/>
    </xf>
    <xf numFmtId="164" fontId="9" fillId="0" borderId="93" xfId="61" applyNumberFormat="1" applyFont="1" applyFill="1" applyBorder="1" applyAlignment="1">
      <alignment/>
      <protection/>
    </xf>
    <xf numFmtId="164" fontId="9" fillId="0" borderId="94" xfId="61" applyNumberFormat="1" applyFont="1" applyFill="1" applyBorder="1" applyAlignment="1">
      <alignment/>
      <protection/>
    </xf>
    <xf numFmtId="164" fontId="9" fillId="0" borderId="101" xfId="61" applyNumberFormat="1" applyFont="1" applyFill="1" applyBorder="1" applyAlignment="1">
      <alignment/>
      <protection/>
    </xf>
    <xf numFmtId="164" fontId="9" fillId="0" borderId="72" xfId="61" applyNumberFormat="1" applyFont="1" applyFill="1" applyBorder="1" applyAlignment="1">
      <alignment/>
      <protection/>
    </xf>
    <xf numFmtId="164" fontId="9" fillId="0" borderId="102" xfId="61" applyNumberFormat="1" applyFont="1" applyFill="1" applyBorder="1" applyAlignment="1">
      <alignment/>
      <protection/>
    </xf>
    <xf numFmtId="164" fontId="9" fillId="0" borderId="103" xfId="61" applyNumberFormat="1" applyFont="1" applyFill="1" applyBorder="1" applyAlignment="1">
      <alignment/>
      <protection/>
    </xf>
    <xf numFmtId="164" fontId="9" fillId="0" borderId="104" xfId="61" applyNumberFormat="1" applyFont="1" applyFill="1" applyBorder="1" applyAlignment="1">
      <alignment/>
      <protection/>
    </xf>
    <xf numFmtId="164" fontId="9" fillId="0" borderId="80" xfId="61" applyNumberFormat="1" applyFont="1" applyFill="1" applyBorder="1" applyAlignment="1">
      <alignment/>
      <protection/>
    </xf>
    <xf numFmtId="0" fontId="9" fillId="0" borderId="22" xfId="58" applyNumberFormat="1" applyFont="1" applyBorder="1" applyAlignment="1">
      <alignment/>
      <protection/>
    </xf>
    <xf numFmtId="0" fontId="10" fillId="0" borderId="21" xfId="58" applyNumberFormat="1" applyFont="1" applyBorder="1" applyAlignment="1">
      <alignment/>
      <protection/>
    </xf>
    <xf numFmtId="0" fontId="10" fillId="0" borderId="22" xfId="58" applyNumberFormat="1" applyFont="1" applyBorder="1" applyAlignment="1">
      <alignment/>
      <protection/>
    </xf>
    <xf numFmtId="0" fontId="10" fillId="0" borderId="23" xfId="58" applyNumberFormat="1" applyFont="1" applyFill="1" applyBorder="1" applyAlignment="1">
      <alignment/>
      <protection/>
    </xf>
    <xf numFmtId="0" fontId="10" fillId="0" borderId="23" xfId="58" applyNumberFormat="1" applyFont="1" applyBorder="1" applyAlignment="1">
      <alignment/>
      <protection/>
    </xf>
    <xf numFmtId="0" fontId="9" fillId="0" borderId="21" xfId="58" applyNumberFormat="1" applyFont="1" applyFill="1" applyBorder="1" applyAlignment="1">
      <alignment/>
      <protection/>
    </xf>
    <xf numFmtId="0" fontId="9" fillId="0" borderId="21" xfId="58" applyNumberFormat="1" applyFont="1" applyBorder="1" applyAlignment="1">
      <alignment/>
      <protection/>
    </xf>
    <xf numFmtId="0" fontId="10" fillId="0" borderId="21" xfId="58" applyNumberFormat="1" applyFont="1" applyFill="1" applyBorder="1" applyAlignment="1">
      <alignment/>
      <protection/>
    </xf>
    <xf numFmtId="0" fontId="10" fillId="0" borderId="24" xfId="58" applyNumberFormat="1" applyFont="1" applyBorder="1" applyAlignment="1">
      <alignment/>
      <protection/>
    </xf>
    <xf numFmtId="0" fontId="10" fillId="0" borderId="25" xfId="58" applyNumberFormat="1" applyFont="1" applyBorder="1" applyAlignment="1">
      <alignment/>
      <protection/>
    </xf>
    <xf numFmtId="0" fontId="9" fillId="0" borderId="23" xfId="58" applyNumberFormat="1" applyFont="1" applyFill="1" applyBorder="1" applyAlignment="1">
      <alignment/>
      <protection/>
    </xf>
    <xf numFmtId="0" fontId="10" fillId="0" borderId="21" xfId="58" applyNumberFormat="1" applyFont="1" applyBorder="1">
      <alignment/>
      <protection/>
    </xf>
    <xf numFmtId="0" fontId="9" fillId="0" borderId="22" xfId="58" applyNumberFormat="1" applyFont="1" applyBorder="1">
      <alignment/>
      <protection/>
    </xf>
    <xf numFmtId="0" fontId="9" fillId="0" borderId="26" xfId="58" applyNumberFormat="1" applyFont="1" applyBorder="1" applyAlignment="1">
      <alignment/>
      <protection/>
    </xf>
    <xf numFmtId="0" fontId="9" fillId="0" borderId="37" xfId="58" applyNumberFormat="1" applyFont="1" applyBorder="1" applyAlignment="1">
      <alignment/>
      <protection/>
    </xf>
    <xf numFmtId="0" fontId="10" fillId="0" borderId="27" xfId="58" applyNumberFormat="1" applyFont="1" applyBorder="1" applyAlignment="1">
      <alignment/>
      <protection/>
    </xf>
    <xf numFmtId="0" fontId="9" fillId="0" borderId="27" xfId="58" applyNumberFormat="1" applyFont="1" applyBorder="1" applyAlignment="1">
      <alignment/>
      <protection/>
    </xf>
    <xf numFmtId="0" fontId="10" fillId="0" borderId="27" xfId="58" applyNumberFormat="1" applyFont="1" applyFill="1" applyBorder="1" applyAlignment="1">
      <alignment/>
      <protection/>
    </xf>
    <xf numFmtId="0" fontId="10" fillId="0" borderId="22" xfId="58" applyNumberFormat="1" applyFont="1" applyBorder="1">
      <alignment/>
      <protection/>
    </xf>
    <xf numFmtId="0" fontId="10" fillId="0" borderId="19" xfId="58" applyNumberFormat="1" applyFont="1" applyBorder="1">
      <alignment/>
      <protection/>
    </xf>
    <xf numFmtId="41" fontId="10" fillId="0" borderId="21" xfId="58" applyNumberFormat="1" applyFont="1" applyBorder="1" applyAlignment="1">
      <alignment/>
      <protection/>
    </xf>
    <xf numFmtId="41" fontId="10" fillId="0" borderId="33" xfId="58" applyNumberFormat="1" applyFont="1" applyBorder="1" applyAlignment="1">
      <alignment/>
      <protection/>
    </xf>
    <xf numFmtId="41" fontId="10" fillId="0" borderId="22" xfId="58" applyNumberFormat="1" applyFont="1" applyBorder="1" applyAlignment="1">
      <alignment/>
      <protection/>
    </xf>
    <xf numFmtId="41" fontId="10" fillId="0" borderId="19" xfId="58" applyNumberFormat="1" applyFont="1" applyBorder="1" applyAlignment="1">
      <alignment/>
      <protection/>
    </xf>
    <xf numFmtId="41" fontId="10" fillId="0" borderId="25" xfId="58" applyNumberFormat="1" applyFont="1" applyBorder="1" applyAlignment="1">
      <alignment/>
      <protection/>
    </xf>
    <xf numFmtId="41" fontId="10" fillId="0" borderId="21" xfId="58" applyNumberFormat="1" applyFont="1" applyBorder="1">
      <alignment/>
      <protection/>
    </xf>
    <xf numFmtId="41" fontId="10" fillId="0" borderId="42" xfId="58" applyNumberFormat="1" applyFont="1" applyBorder="1" applyAlignment="1">
      <alignment/>
      <protection/>
    </xf>
    <xf numFmtId="41" fontId="10" fillId="0" borderId="62" xfId="58" applyNumberFormat="1" applyFont="1" applyBorder="1" applyAlignment="1">
      <alignment/>
      <protection/>
    </xf>
    <xf numFmtId="42" fontId="10" fillId="0" borderId="62" xfId="58" applyNumberFormat="1" applyFont="1" applyBorder="1" applyAlignment="1">
      <alignment/>
      <protection/>
    </xf>
    <xf numFmtId="41" fontId="9" fillId="0" borderId="62" xfId="58" applyNumberFormat="1" applyFont="1" applyBorder="1" applyAlignment="1">
      <alignment/>
      <protection/>
    </xf>
    <xf numFmtId="41" fontId="9" fillId="0" borderId="22" xfId="58" applyNumberFormat="1" applyFont="1" applyBorder="1" applyAlignment="1">
      <alignment/>
      <protection/>
    </xf>
    <xf numFmtId="41" fontId="9" fillId="0" borderId="19" xfId="58" applyNumberFormat="1" applyFont="1" applyBorder="1" applyAlignment="1">
      <alignment/>
      <protection/>
    </xf>
    <xf numFmtId="42" fontId="9" fillId="0" borderId="26" xfId="58" applyNumberFormat="1" applyFont="1" applyBorder="1" applyAlignment="1">
      <alignment/>
      <protection/>
    </xf>
    <xf numFmtId="42" fontId="9" fillId="0" borderId="43" xfId="58" applyNumberFormat="1" applyFont="1" applyBorder="1" applyAlignment="1">
      <alignment/>
      <protection/>
    </xf>
    <xf numFmtId="0" fontId="10" fillId="0" borderId="105" xfId="0" applyNumberFormat="1" applyFont="1" applyBorder="1" applyAlignment="1">
      <alignment/>
    </xf>
    <xf numFmtId="0" fontId="10" fillId="0" borderId="106" xfId="0" applyNumberFormat="1" applyFont="1" applyBorder="1" applyAlignment="1">
      <alignment/>
    </xf>
    <xf numFmtId="0" fontId="10" fillId="0" borderId="54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0" fontId="13" fillId="0" borderId="12" xfId="0" applyNumberFormat="1" applyFont="1" applyBorder="1" applyAlignment="1">
      <alignment/>
    </xf>
    <xf numFmtId="10" fontId="13" fillId="0" borderId="0" xfId="0" applyNumberFormat="1" applyFont="1" applyAlignment="1">
      <alignment/>
    </xf>
    <xf numFmtId="3" fontId="13" fillId="0" borderId="14" xfId="0" applyNumberFormat="1" applyFont="1" applyBorder="1" applyAlignment="1">
      <alignment/>
    </xf>
    <xf numFmtId="3" fontId="13" fillId="0" borderId="16" xfId="0" applyNumberFormat="1" applyFont="1" applyBorder="1" applyAlignment="1" applyProtection="1">
      <alignment/>
      <protection locked="0"/>
    </xf>
    <xf numFmtId="0" fontId="13" fillId="0" borderId="107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3" fontId="14" fillId="0" borderId="16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/>
    </xf>
    <xf numFmtId="0" fontId="14" fillId="0" borderId="50" xfId="0" applyNumberFormat="1" applyFont="1" applyBorder="1" applyAlignment="1">
      <alignment horizontal="left"/>
    </xf>
    <xf numFmtId="0" fontId="13" fillId="0" borderId="27" xfId="0" applyNumberFormat="1" applyFont="1" applyBorder="1" applyAlignment="1">
      <alignment/>
    </xf>
    <xf numFmtId="0" fontId="14" fillId="0" borderId="37" xfId="0" applyNumberFormat="1" applyFont="1" applyBorder="1" applyAlignment="1">
      <alignment/>
    </xf>
    <xf numFmtId="0" fontId="13" fillId="0" borderId="37" xfId="0" applyNumberFormat="1" applyFont="1" applyBorder="1" applyAlignment="1">
      <alignment/>
    </xf>
    <xf numFmtId="0" fontId="13" fillId="0" borderId="51" xfId="0" applyNumberFormat="1" applyFont="1" applyFill="1" applyBorder="1" applyAlignment="1">
      <alignment/>
    </xf>
    <xf numFmtId="0" fontId="13" fillId="0" borderId="51" xfId="0" applyNumberFormat="1" applyFont="1" applyBorder="1" applyAlignment="1">
      <alignment/>
    </xf>
    <xf numFmtId="0" fontId="14" fillId="0" borderId="27" xfId="0" applyNumberFormat="1" applyFont="1" applyFill="1" applyBorder="1" applyAlignment="1">
      <alignment/>
    </xf>
    <xf numFmtId="0" fontId="14" fillId="0" borderId="27" xfId="0" applyNumberFormat="1" applyFont="1" applyBorder="1" applyAlignment="1">
      <alignment/>
    </xf>
    <xf numFmtId="0" fontId="13" fillId="0" borderId="27" xfId="0" applyNumberFormat="1" applyFont="1" applyFill="1" applyBorder="1" applyAlignment="1">
      <alignment/>
    </xf>
    <xf numFmtId="0" fontId="13" fillId="0" borderId="52" xfId="0" applyNumberFormat="1" applyFont="1" applyBorder="1" applyAlignment="1">
      <alignment/>
    </xf>
    <xf numFmtId="0" fontId="13" fillId="0" borderId="47" xfId="0" applyNumberFormat="1" applyFont="1" applyBorder="1" applyAlignment="1">
      <alignment/>
    </xf>
    <xf numFmtId="0" fontId="14" fillId="0" borderId="51" xfId="0" applyNumberFormat="1" applyFont="1" applyFill="1" applyBorder="1" applyAlignment="1">
      <alignment/>
    </xf>
    <xf numFmtId="0" fontId="13" fillId="0" borderId="27" xfId="0" applyNumberFormat="1" applyFont="1" applyBorder="1" applyAlignment="1">
      <alignment/>
    </xf>
    <xf numFmtId="0" fontId="14" fillId="0" borderId="37" xfId="0" applyNumberFormat="1" applyFont="1" applyBorder="1" applyAlignment="1">
      <alignment/>
    </xf>
    <xf numFmtId="0" fontId="14" fillId="0" borderId="5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3" fontId="14" fillId="0" borderId="108" xfId="0" applyNumberFormat="1" applyFont="1" applyBorder="1" applyAlignment="1">
      <alignment horizontal="center"/>
    </xf>
    <xf numFmtId="3" fontId="14" fillId="0" borderId="109" xfId="0" applyNumberFormat="1" applyFont="1" applyBorder="1" applyAlignment="1" applyProtection="1">
      <alignment horizontal="center"/>
      <protection locked="0"/>
    </xf>
    <xf numFmtId="3" fontId="14" fillId="0" borderId="109" xfId="0" applyNumberFormat="1" applyFont="1" applyBorder="1" applyAlignment="1">
      <alignment horizontal="center"/>
    </xf>
    <xf numFmtId="10" fontId="14" fillId="0" borderId="110" xfId="0" applyNumberFormat="1" applyFont="1" applyBorder="1" applyAlignment="1">
      <alignment horizontal="center"/>
    </xf>
    <xf numFmtId="3" fontId="13" fillId="0" borderId="111" xfId="0" applyNumberFormat="1" applyFont="1" applyBorder="1" applyAlignment="1">
      <alignment/>
    </xf>
    <xf numFmtId="10" fontId="13" fillId="0" borderId="112" xfId="0" applyNumberFormat="1" applyFont="1" applyBorder="1" applyAlignment="1">
      <alignment/>
    </xf>
    <xf numFmtId="3" fontId="13" fillId="0" borderId="113" xfId="0" applyNumberFormat="1" applyFont="1" applyBorder="1" applyAlignment="1" applyProtection="1">
      <alignment/>
      <protection locked="0"/>
    </xf>
    <xf numFmtId="10" fontId="13" fillId="0" borderId="114" xfId="0" applyNumberFormat="1" applyFont="1" applyBorder="1" applyAlignment="1" applyProtection="1">
      <alignment/>
      <protection locked="0"/>
    </xf>
    <xf numFmtId="3" fontId="14" fillId="0" borderId="113" xfId="0" applyNumberFormat="1" applyFont="1" applyBorder="1" applyAlignment="1" applyProtection="1">
      <alignment/>
      <protection locked="0"/>
    </xf>
    <xf numFmtId="10" fontId="14" fillId="0" borderId="114" xfId="0" applyNumberFormat="1" applyFont="1" applyBorder="1" applyAlignment="1" applyProtection="1">
      <alignment/>
      <protection locked="0"/>
    </xf>
    <xf numFmtId="3" fontId="13" fillId="0" borderId="115" xfId="0" applyNumberFormat="1" applyFont="1" applyBorder="1" applyAlignment="1" applyProtection="1">
      <alignment/>
      <protection locked="0"/>
    </xf>
    <xf numFmtId="10" fontId="13" fillId="0" borderId="116" xfId="0" applyNumberFormat="1" applyFont="1" applyBorder="1" applyAlignment="1" applyProtection="1">
      <alignment/>
      <protection locked="0"/>
    </xf>
    <xf numFmtId="3" fontId="13" fillId="0" borderId="78" xfId="0" applyNumberFormat="1" applyFont="1" applyBorder="1" applyAlignment="1" applyProtection="1">
      <alignment/>
      <protection locked="0"/>
    </xf>
    <xf numFmtId="10" fontId="13" fillId="0" borderId="112" xfId="0" applyNumberFormat="1" applyFont="1" applyBorder="1" applyAlignment="1" applyProtection="1">
      <alignment/>
      <protection locked="0"/>
    </xf>
    <xf numFmtId="3" fontId="13" fillId="0" borderId="117" xfId="0" applyNumberFormat="1" applyFont="1" applyBorder="1" applyAlignment="1" applyProtection="1">
      <alignment/>
      <protection locked="0"/>
    </xf>
    <xf numFmtId="10" fontId="14" fillId="0" borderId="116" xfId="0" applyNumberFormat="1" applyFont="1" applyBorder="1" applyAlignment="1" applyProtection="1">
      <alignment/>
      <protection locked="0"/>
    </xf>
    <xf numFmtId="3" fontId="14" fillId="0" borderId="118" xfId="0" applyNumberFormat="1" applyFont="1" applyBorder="1" applyAlignment="1" applyProtection="1">
      <alignment/>
      <protection locked="0"/>
    </xf>
    <xf numFmtId="3" fontId="14" fillId="0" borderId="119" xfId="0" applyNumberFormat="1" applyFont="1" applyBorder="1" applyAlignment="1" applyProtection="1">
      <alignment/>
      <protection locked="0"/>
    </xf>
    <xf numFmtId="10" fontId="14" fillId="0" borderId="120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>
      <alignment/>
    </xf>
    <xf numFmtId="3" fontId="10" fillId="0" borderId="121" xfId="0" applyNumberFormat="1" applyFont="1" applyBorder="1" applyAlignment="1">
      <alignment/>
    </xf>
    <xf numFmtId="164" fontId="10" fillId="0" borderId="121" xfId="0" applyNumberFormat="1" applyFont="1" applyBorder="1" applyAlignment="1">
      <alignment/>
    </xf>
    <xf numFmtId="165" fontId="9" fillId="0" borderId="74" xfId="0" applyNumberFormat="1" applyFont="1" applyBorder="1" applyAlignment="1">
      <alignment/>
    </xf>
    <xf numFmtId="164" fontId="10" fillId="0" borderId="55" xfId="0" applyNumberFormat="1" applyFont="1" applyBorder="1" applyAlignment="1">
      <alignment/>
    </xf>
    <xf numFmtId="0" fontId="10" fillId="0" borderId="48" xfId="0" applyNumberFormat="1" applyFont="1" applyBorder="1" applyAlignment="1">
      <alignment/>
    </xf>
    <xf numFmtId="164" fontId="9" fillId="0" borderId="55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0" fontId="9" fillId="0" borderId="122" xfId="0" applyNumberFormat="1" applyFont="1" applyBorder="1" applyAlignment="1">
      <alignment/>
    </xf>
    <xf numFmtId="0" fontId="10" fillId="0" borderId="123" xfId="0" applyNumberFormat="1" applyFont="1" applyBorder="1" applyAlignment="1">
      <alignment/>
    </xf>
    <xf numFmtId="0" fontId="10" fillId="0" borderId="124" xfId="0" applyNumberFormat="1" applyFont="1" applyBorder="1" applyAlignment="1">
      <alignment/>
    </xf>
    <xf numFmtId="0" fontId="10" fillId="0" borderId="124" xfId="0" applyNumberFormat="1" applyFont="1" applyFill="1" applyBorder="1" applyAlignment="1">
      <alignment/>
    </xf>
    <xf numFmtId="165" fontId="10" fillId="0" borderId="57" xfId="0" applyNumberFormat="1" applyFont="1" applyBorder="1" applyAlignment="1">
      <alignment/>
    </xf>
    <xf numFmtId="165" fontId="9" fillId="0" borderId="58" xfId="0" applyNumberFormat="1" applyFont="1" applyBorder="1" applyAlignment="1">
      <alignment/>
    </xf>
    <xf numFmtId="0" fontId="10" fillId="0" borderId="125" xfId="0" applyNumberFormat="1" applyFont="1" applyBorder="1" applyAlignment="1">
      <alignment/>
    </xf>
    <xf numFmtId="165" fontId="9" fillId="0" borderId="126" xfId="0" applyNumberFormat="1" applyFont="1" applyBorder="1" applyAlignment="1">
      <alignment/>
    </xf>
    <xf numFmtId="165" fontId="18" fillId="0" borderId="127" xfId="43" applyNumberFormat="1" applyFont="1" applyBorder="1" applyAlignment="1">
      <alignment horizontal="right"/>
    </xf>
    <xf numFmtId="38" fontId="18" fillId="0" borderId="128" xfId="0" applyNumberFormat="1" applyFont="1" applyBorder="1" applyAlignment="1">
      <alignment horizontal="right"/>
    </xf>
    <xf numFmtId="38" fontId="18" fillId="0" borderId="83" xfId="0" applyNumberFormat="1" applyFont="1" applyBorder="1" applyAlignment="1">
      <alignment horizontal="right"/>
    </xf>
    <xf numFmtId="165" fontId="18" fillId="0" borderId="129" xfId="0" applyNumberFormat="1" applyFont="1" applyBorder="1" applyAlignment="1">
      <alignment horizontal="right"/>
    </xf>
    <xf numFmtId="38" fontId="18" fillId="0" borderId="95" xfId="0" applyNumberFormat="1" applyFont="1" applyBorder="1" applyAlignment="1">
      <alignment horizontal="right"/>
    </xf>
    <xf numFmtId="38" fontId="18" fillId="0" borderId="89" xfId="0" applyNumberFormat="1" applyFont="1" applyBorder="1" applyAlignment="1">
      <alignment horizontal="right"/>
    </xf>
    <xf numFmtId="165" fontId="18" fillId="0" borderId="130" xfId="0" applyNumberFormat="1" applyFont="1" applyBorder="1" applyAlignment="1">
      <alignment horizontal="right"/>
    </xf>
    <xf numFmtId="0" fontId="9" fillId="0" borderId="131" xfId="0" applyNumberFormat="1" applyFont="1" applyBorder="1" applyAlignment="1">
      <alignment horizontal="center"/>
    </xf>
    <xf numFmtId="0" fontId="9" fillId="0" borderId="132" xfId="0" applyNumberFormat="1" applyFont="1" applyBorder="1" applyAlignment="1">
      <alignment horizontal="center"/>
    </xf>
    <xf numFmtId="165" fontId="9" fillId="0" borderId="133" xfId="0" applyNumberFormat="1" applyFont="1" applyBorder="1" applyAlignment="1">
      <alignment horizontal="center"/>
    </xf>
    <xf numFmtId="165" fontId="18" fillId="0" borderId="127" xfId="0" applyNumberFormat="1" applyFont="1" applyBorder="1" applyAlignment="1">
      <alignment horizontal="right"/>
    </xf>
    <xf numFmtId="0" fontId="9" fillId="0" borderId="70" xfId="0" applyNumberFormat="1" applyFont="1" applyBorder="1" applyAlignment="1">
      <alignment/>
    </xf>
    <xf numFmtId="0" fontId="10" fillId="0" borderId="49" xfId="0" applyNumberFormat="1" applyFont="1" applyFill="1" applyBorder="1" applyAlignment="1">
      <alignment/>
    </xf>
    <xf numFmtId="0" fontId="9" fillId="0" borderId="74" xfId="0" applyNumberFormat="1" applyFont="1" applyFill="1" applyBorder="1" applyAlignment="1">
      <alignment/>
    </xf>
    <xf numFmtId="0" fontId="9" fillId="0" borderId="49" xfId="0" applyNumberFormat="1" applyFont="1" applyBorder="1" applyAlignment="1">
      <alignment/>
    </xf>
    <xf numFmtId="0" fontId="10" fillId="0" borderId="49" xfId="0" applyNumberFormat="1" applyFont="1" applyBorder="1" applyAlignment="1">
      <alignment/>
    </xf>
    <xf numFmtId="0" fontId="10" fillId="0" borderId="70" xfId="0" applyNumberFormat="1" applyFont="1" applyBorder="1" applyAlignment="1">
      <alignment/>
    </xf>
    <xf numFmtId="0" fontId="9" fillId="0" borderId="70" xfId="0" applyNumberFormat="1" applyFont="1" applyBorder="1" applyAlignment="1">
      <alignment/>
    </xf>
    <xf numFmtId="0" fontId="9" fillId="0" borderId="72" xfId="0" applyNumberFormat="1" applyFont="1" applyBorder="1" applyAlignment="1">
      <alignment/>
    </xf>
    <xf numFmtId="0" fontId="9" fillId="0" borderId="134" xfId="0" applyNumberFormat="1" applyFont="1" applyBorder="1" applyAlignment="1">
      <alignment/>
    </xf>
    <xf numFmtId="0" fontId="9" fillId="0" borderId="135" xfId="0" applyNumberFormat="1" applyFont="1" applyBorder="1" applyAlignment="1">
      <alignment/>
    </xf>
    <xf numFmtId="0" fontId="10" fillId="0" borderId="136" xfId="0" applyNumberFormat="1" applyFont="1" applyBorder="1" applyAlignment="1">
      <alignment/>
    </xf>
    <xf numFmtId="0" fontId="10" fillId="0" borderId="137" xfId="0" applyNumberFormat="1" applyFont="1" applyBorder="1" applyAlignment="1">
      <alignment/>
    </xf>
    <xf numFmtId="0" fontId="10" fillId="0" borderId="137" xfId="0" applyNumberFormat="1" applyFont="1" applyFill="1" applyBorder="1" applyAlignment="1">
      <alignment/>
    </xf>
    <xf numFmtId="0" fontId="10" fillId="0" borderId="138" xfId="0" applyNumberFormat="1" applyFont="1" applyBorder="1" applyAlignment="1">
      <alignment/>
    </xf>
    <xf numFmtId="0" fontId="10" fillId="0" borderId="135" xfId="0" applyNumberFormat="1" applyFont="1" applyFill="1" applyBorder="1" applyAlignment="1">
      <alignment/>
    </xf>
    <xf numFmtId="0" fontId="10" fillId="0" borderId="139" xfId="0" applyNumberFormat="1" applyFont="1" applyBorder="1" applyAlignment="1">
      <alignment/>
    </xf>
    <xf numFmtId="165" fontId="18" fillId="0" borderId="140" xfId="0" applyNumberFormat="1" applyFont="1" applyBorder="1" applyAlignment="1">
      <alignment horizontal="right"/>
    </xf>
    <xf numFmtId="165" fontId="18" fillId="0" borderId="85" xfId="0" applyNumberFormat="1" applyFont="1" applyBorder="1" applyAlignment="1">
      <alignment horizontal="right"/>
    </xf>
    <xf numFmtId="165" fontId="21" fillId="0" borderId="140" xfId="0" applyNumberFormat="1" applyFont="1" applyBorder="1" applyAlignment="1">
      <alignment horizontal="right"/>
    </xf>
    <xf numFmtId="165" fontId="21" fillId="0" borderId="85" xfId="0" applyNumberFormat="1" applyFont="1" applyBorder="1" applyAlignment="1">
      <alignment horizontal="right"/>
    </xf>
    <xf numFmtId="165" fontId="21" fillId="0" borderId="127" xfId="0" applyNumberFormat="1" applyFont="1" applyBorder="1" applyAlignment="1">
      <alignment horizontal="right"/>
    </xf>
    <xf numFmtId="165" fontId="18" fillId="0" borderId="140" xfId="43" applyNumberFormat="1" applyFont="1" applyBorder="1" applyAlignment="1">
      <alignment horizontal="right"/>
    </xf>
    <xf numFmtId="165" fontId="18" fillId="0" borderId="85" xfId="43" applyNumberFormat="1" applyFont="1" applyBorder="1" applyAlignment="1">
      <alignment horizontal="right"/>
    </xf>
    <xf numFmtId="165" fontId="18" fillId="0" borderId="65" xfId="43" applyNumberFormat="1" applyFont="1" applyBorder="1" applyAlignment="1">
      <alignment horizontal="right"/>
    </xf>
    <xf numFmtId="165" fontId="18" fillId="0" borderId="62" xfId="43" applyNumberFormat="1" applyFont="1" applyBorder="1" applyAlignment="1">
      <alignment horizontal="right"/>
    </xf>
    <xf numFmtId="165" fontId="18" fillId="0" borderId="65" xfId="43" applyNumberFormat="1" applyFont="1" applyFill="1" applyBorder="1" applyAlignment="1">
      <alignment horizontal="right"/>
    </xf>
    <xf numFmtId="165" fontId="18" fillId="0" borderId="62" xfId="43" applyNumberFormat="1" applyFont="1" applyFill="1" applyBorder="1" applyAlignment="1">
      <alignment horizontal="right"/>
    </xf>
    <xf numFmtId="165" fontId="21" fillId="0" borderId="65" xfId="0" applyNumberFormat="1" applyFont="1" applyBorder="1" applyAlignment="1">
      <alignment horizontal="right"/>
    </xf>
    <xf numFmtId="165" fontId="21" fillId="0" borderId="62" xfId="0" applyNumberFormat="1" applyFont="1" applyBorder="1" applyAlignment="1">
      <alignment horizontal="right"/>
    </xf>
    <xf numFmtId="165" fontId="18" fillId="0" borderId="65" xfId="0" applyNumberFormat="1" applyFont="1" applyBorder="1" applyAlignment="1">
      <alignment horizontal="right"/>
    </xf>
    <xf numFmtId="165" fontId="18" fillId="0" borderId="62" xfId="0" applyNumberFormat="1" applyFont="1" applyBorder="1" applyAlignment="1">
      <alignment horizontal="right"/>
    </xf>
    <xf numFmtId="165" fontId="21" fillId="0" borderId="141" xfId="43" applyNumberFormat="1" applyFont="1" applyBorder="1" applyAlignment="1">
      <alignment horizontal="right"/>
    </xf>
    <xf numFmtId="165" fontId="21" fillId="0" borderId="142" xfId="43" applyNumberFormat="1" applyFont="1" applyBorder="1" applyAlignment="1">
      <alignment horizontal="right"/>
    </xf>
    <xf numFmtId="165" fontId="21" fillId="0" borderId="128" xfId="0" applyNumberFormat="1" applyFont="1" applyBorder="1" applyAlignment="1">
      <alignment horizontal="right"/>
    </xf>
    <xf numFmtId="165" fontId="21" fillId="0" borderId="83" xfId="0" applyNumberFormat="1" applyFont="1" applyBorder="1" applyAlignment="1">
      <alignment horizontal="right"/>
    </xf>
    <xf numFmtId="165" fontId="21" fillId="0" borderId="129" xfId="0" applyNumberFormat="1" applyFont="1" applyBorder="1" applyAlignment="1">
      <alignment horizontal="right"/>
    </xf>
    <xf numFmtId="0" fontId="10" fillId="25" borderId="24" xfId="0" applyNumberFormat="1" applyFont="1" applyFill="1" applyBorder="1" applyAlignment="1">
      <alignment/>
    </xf>
    <xf numFmtId="0" fontId="10" fillId="25" borderId="23" xfId="0" applyNumberFormat="1" applyFont="1" applyFill="1" applyBorder="1" applyAlignment="1">
      <alignment/>
    </xf>
    <xf numFmtId="0" fontId="10" fillId="25" borderId="143" xfId="0" applyNumberFormat="1" applyFont="1" applyFill="1" applyBorder="1" applyAlignment="1">
      <alignment/>
    </xf>
    <xf numFmtId="165" fontId="9" fillId="0" borderId="19" xfId="0" applyNumberFormat="1" applyFont="1" applyBorder="1" applyAlignment="1">
      <alignment/>
    </xf>
    <xf numFmtId="165" fontId="10" fillId="0" borderId="98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165" fontId="9" fillId="0" borderId="80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165" fontId="9" fillId="0" borderId="144" xfId="0" applyNumberFormat="1" applyFont="1" applyBorder="1" applyAlignment="1">
      <alignment/>
    </xf>
    <xf numFmtId="165" fontId="9" fillId="0" borderId="145" xfId="0" applyNumberFormat="1" applyFont="1" applyBorder="1" applyAlignment="1">
      <alignment/>
    </xf>
    <xf numFmtId="0" fontId="9" fillId="0" borderId="47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165" fontId="10" fillId="0" borderId="16" xfId="0" applyNumberFormat="1" applyFont="1" applyBorder="1" applyAlignment="1" applyProtection="1">
      <alignment/>
      <protection locked="0"/>
    </xf>
    <xf numFmtId="10" fontId="10" fillId="0" borderId="16" xfId="0" applyNumberFormat="1" applyFont="1" applyBorder="1" applyAlignment="1" applyProtection="1">
      <alignment/>
      <protection locked="0"/>
    </xf>
    <xf numFmtId="10" fontId="10" fillId="0" borderId="18" xfId="0" applyNumberFormat="1" applyFont="1" applyBorder="1" applyAlignment="1" applyProtection="1">
      <alignment/>
      <protection locked="0"/>
    </xf>
    <xf numFmtId="165" fontId="10" fillId="0" borderId="30" xfId="0" applyNumberFormat="1" applyFont="1" applyBorder="1" applyAlignment="1" applyProtection="1">
      <alignment/>
      <protection locked="0"/>
    </xf>
    <xf numFmtId="165" fontId="10" fillId="0" borderId="18" xfId="0" applyNumberFormat="1" applyFont="1" applyBorder="1" applyAlignment="1" applyProtection="1">
      <alignment/>
      <protection locked="0"/>
    </xf>
    <xf numFmtId="10" fontId="10" fillId="0" borderId="16" xfId="0" applyNumberFormat="1" applyFont="1" applyBorder="1" applyAlignment="1">
      <alignment/>
    </xf>
    <xf numFmtId="165" fontId="10" fillId="0" borderId="32" xfId="0" applyNumberFormat="1" applyFont="1" applyBorder="1" applyAlignment="1" applyProtection="1">
      <alignment/>
      <protection locked="0"/>
    </xf>
    <xf numFmtId="165" fontId="10" fillId="0" borderId="14" xfId="0" applyNumberFormat="1" applyFont="1" applyBorder="1" applyAlignment="1" applyProtection="1">
      <alignment/>
      <protection locked="0"/>
    </xf>
    <xf numFmtId="10" fontId="10" fillId="0" borderId="14" xfId="0" applyNumberFormat="1" applyFont="1" applyBorder="1" applyAlignment="1" applyProtection="1">
      <alignment/>
      <protection locked="0"/>
    </xf>
    <xf numFmtId="0" fontId="10" fillId="0" borderId="91" xfId="0" applyNumberFormat="1" applyFont="1" applyBorder="1" applyAlignment="1">
      <alignment/>
    </xf>
    <xf numFmtId="0" fontId="10" fillId="0" borderId="90" xfId="0" applyNumberFormat="1" applyFont="1" applyBorder="1" applyAlignment="1">
      <alignment/>
    </xf>
    <xf numFmtId="0" fontId="10" fillId="0" borderId="90" xfId="0" applyNumberFormat="1" applyFont="1" applyFill="1" applyBorder="1" applyAlignment="1">
      <alignment/>
    </xf>
    <xf numFmtId="0" fontId="9" fillId="0" borderId="90" xfId="0" applyNumberFormat="1" applyFont="1" applyBorder="1" applyAlignment="1">
      <alignment/>
    </xf>
    <xf numFmtId="165" fontId="9" fillId="0" borderId="16" xfId="0" applyNumberFormat="1" applyFont="1" applyBorder="1" applyAlignment="1" applyProtection="1">
      <alignment/>
      <protection locked="0"/>
    </xf>
    <xf numFmtId="10" fontId="9" fillId="0" borderId="16" xfId="0" applyNumberFormat="1" applyFont="1" applyBorder="1" applyAlignment="1" applyProtection="1">
      <alignment/>
      <protection locked="0"/>
    </xf>
    <xf numFmtId="10" fontId="9" fillId="0" borderId="18" xfId="0" applyNumberFormat="1" applyFont="1" applyBorder="1" applyAlignment="1" applyProtection="1">
      <alignment/>
      <protection locked="0"/>
    </xf>
    <xf numFmtId="10" fontId="9" fillId="0" borderId="17" xfId="0" applyNumberFormat="1" applyFont="1" applyBorder="1" applyAlignment="1" applyProtection="1">
      <alignment/>
      <protection locked="0"/>
    </xf>
    <xf numFmtId="170" fontId="10" fillId="0" borderId="21" xfId="0" applyNumberFormat="1" applyFont="1" applyBorder="1" applyAlignment="1">
      <alignment/>
    </xf>
    <xf numFmtId="170" fontId="10" fillId="0" borderId="33" xfId="0" applyNumberFormat="1" applyFont="1" applyBorder="1" applyAlignment="1">
      <alignment/>
    </xf>
    <xf numFmtId="170" fontId="10" fillId="0" borderId="22" xfId="0" applyNumberFormat="1" applyFont="1" applyBorder="1" applyAlignment="1">
      <alignment/>
    </xf>
    <xf numFmtId="170" fontId="10" fillId="0" borderId="19" xfId="0" applyNumberFormat="1" applyFont="1" applyBorder="1" applyAlignment="1">
      <alignment/>
    </xf>
    <xf numFmtId="170" fontId="10" fillId="0" borderId="25" xfId="0" applyNumberFormat="1" applyFont="1" applyBorder="1" applyAlignment="1">
      <alignment/>
    </xf>
    <xf numFmtId="170" fontId="10" fillId="0" borderId="21" xfId="0" applyNumberFormat="1" applyFont="1" applyBorder="1" applyAlignment="1">
      <alignment/>
    </xf>
    <xf numFmtId="170" fontId="10" fillId="0" borderId="42" xfId="0" applyNumberFormat="1" applyFont="1" applyBorder="1" applyAlignment="1">
      <alignment/>
    </xf>
    <xf numFmtId="170" fontId="10" fillId="0" borderId="26" xfId="0" applyNumberFormat="1" applyFont="1" applyBorder="1" applyAlignment="1">
      <alignment/>
    </xf>
    <xf numFmtId="170" fontId="10" fillId="0" borderId="24" xfId="0" applyNumberFormat="1" applyFont="1" applyBorder="1" applyAlignment="1">
      <alignment/>
    </xf>
    <xf numFmtId="170" fontId="10" fillId="0" borderId="23" xfId="0" applyNumberFormat="1" applyFont="1" applyBorder="1" applyAlignment="1">
      <alignment/>
    </xf>
    <xf numFmtId="0" fontId="10" fillId="0" borderId="143" xfId="0" applyNumberFormat="1" applyFont="1" applyBorder="1" applyAlignment="1">
      <alignment/>
    </xf>
    <xf numFmtId="170" fontId="10" fillId="0" borderId="14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10" fontId="28" fillId="0" borderId="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3" fontId="25" fillId="0" borderId="13" xfId="0" applyNumberFormat="1" applyFont="1" applyBorder="1" applyAlignment="1">
      <alignment/>
    </xf>
    <xf numFmtId="10" fontId="26" fillId="0" borderId="13" xfId="0" applyNumberFormat="1" applyFont="1" applyBorder="1" applyAlignment="1">
      <alignment/>
    </xf>
    <xf numFmtId="10" fontId="30" fillId="0" borderId="14" xfId="0" applyNumberFormat="1" applyFont="1" applyBorder="1" applyAlignment="1">
      <alignment/>
    </xf>
    <xf numFmtId="10" fontId="30" fillId="0" borderId="18" xfId="0" applyNumberFormat="1" applyFont="1" applyBorder="1" applyAlignment="1" applyProtection="1">
      <alignment/>
      <protection locked="0"/>
    </xf>
    <xf numFmtId="10" fontId="29" fillId="0" borderId="0" xfId="0" applyNumberFormat="1" applyFont="1" applyAlignment="1">
      <alignment/>
    </xf>
    <xf numFmtId="0" fontId="32" fillId="0" borderId="0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NumberFormat="1" applyFont="1" applyAlignment="1">
      <alignment horizontal="left"/>
    </xf>
    <xf numFmtId="3" fontId="26" fillId="21" borderId="40" xfId="0" applyNumberFormat="1" applyFont="1" applyFill="1" applyBorder="1" applyAlignment="1">
      <alignment/>
    </xf>
    <xf numFmtId="10" fontId="25" fillId="21" borderId="15" xfId="0" applyNumberFormat="1" applyFont="1" applyFill="1" applyBorder="1" applyAlignment="1">
      <alignment horizontal="center"/>
    </xf>
    <xf numFmtId="0" fontId="25" fillId="21" borderId="21" xfId="0" applyNumberFormat="1" applyFont="1" applyFill="1" applyBorder="1" applyAlignment="1">
      <alignment horizontal="left"/>
    </xf>
    <xf numFmtId="10" fontId="25" fillId="21" borderId="16" xfId="0" applyNumberFormat="1" applyFont="1" applyFill="1" applyBorder="1" applyAlignment="1">
      <alignment horizontal="center"/>
    </xf>
    <xf numFmtId="0" fontId="35" fillId="0" borderId="22" xfId="0" applyNumberFormat="1" applyFont="1" applyBorder="1" applyAlignment="1">
      <alignment/>
    </xf>
    <xf numFmtId="0" fontId="33" fillId="0" borderId="21" xfId="0" applyNumberFormat="1" applyFont="1" applyBorder="1" applyAlignment="1">
      <alignment/>
    </xf>
    <xf numFmtId="0" fontId="33" fillId="0" borderId="22" xfId="0" applyNumberFormat="1" applyFont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33" fillId="0" borderId="23" xfId="0" applyNumberFormat="1" applyFont="1" applyBorder="1" applyAlignment="1">
      <alignment/>
    </xf>
    <xf numFmtId="10" fontId="33" fillId="0" borderId="16" xfId="0" applyNumberFormat="1" applyFont="1" applyBorder="1" applyAlignment="1" applyProtection="1">
      <alignment/>
      <protection locked="0"/>
    </xf>
    <xf numFmtId="10" fontId="33" fillId="0" borderId="31" xfId="0" applyNumberFormat="1" applyFont="1" applyBorder="1" applyAlignment="1">
      <alignment/>
    </xf>
    <xf numFmtId="0" fontId="36" fillId="0" borderId="21" xfId="0" applyNumberFormat="1" applyFont="1" applyFill="1" applyBorder="1" applyAlignment="1">
      <alignment/>
    </xf>
    <xf numFmtId="0" fontId="36" fillId="0" borderId="21" xfId="0" applyNumberFormat="1" applyFont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6" fillId="0" borderId="22" xfId="0" applyNumberFormat="1" applyFont="1" applyBorder="1" applyAlignment="1">
      <alignment/>
    </xf>
    <xf numFmtId="10" fontId="36" fillId="0" borderId="16" xfId="0" applyNumberFormat="1" applyFont="1" applyBorder="1" applyAlignment="1" applyProtection="1">
      <alignment/>
      <protection locked="0"/>
    </xf>
    <xf numFmtId="10" fontId="30" fillId="0" borderId="14" xfId="0" applyNumberFormat="1" applyFont="1" applyBorder="1" applyAlignment="1" applyProtection="1">
      <alignment/>
      <protection locked="0"/>
    </xf>
    <xf numFmtId="0" fontId="36" fillId="0" borderId="41" xfId="0" applyNumberFormat="1" applyFont="1" applyBorder="1" applyAlignment="1">
      <alignment/>
    </xf>
    <xf numFmtId="0" fontId="33" fillId="0" borderId="24" xfId="0" applyNumberFormat="1" applyFont="1" applyBorder="1" applyAlignment="1">
      <alignment/>
    </xf>
    <xf numFmtId="0" fontId="33" fillId="0" borderId="25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/>
    </xf>
    <xf numFmtId="0" fontId="35" fillId="0" borderId="21" xfId="0" applyNumberFormat="1" applyFont="1" applyBorder="1" applyAlignment="1">
      <alignment/>
    </xf>
    <xf numFmtId="0" fontId="33" fillId="0" borderId="21" xfId="0" applyNumberFormat="1" applyFont="1" applyBorder="1" applyAlignment="1">
      <alignment/>
    </xf>
    <xf numFmtId="0" fontId="36" fillId="0" borderId="22" xfId="0" applyNumberFormat="1" applyFont="1" applyBorder="1" applyAlignment="1">
      <alignment/>
    </xf>
    <xf numFmtId="0" fontId="36" fillId="0" borderId="26" xfId="0" applyNumberFormat="1" applyFont="1" applyBorder="1" applyAlignment="1">
      <alignment/>
    </xf>
    <xf numFmtId="0" fontId="33" fillId="0" borderId="91" xfId="0" applyNumberFormat="1" applyFont="1" applyBorder="1" applyAlignment="1">
      <alignment/>
    </xf>
    <xf numFmtId="0" fontId="33" fillId="0" borderId="90" xfId="0" applyNumberFormat="1" applyFont="1" applyBorder="1" applyAlignment="1">
      <alignment/>
    </xf>
    <xf numFmtId="0" fontId="33" fillId="0" borderId="90" xfId="0" applyNumberFormat="1" applyFont="1" applyFill="1" applyBorder="1" applyAlignment="1">
      <alignment/>
    </xf>
    <xf numFmtId="10" fontId="33" fillId="0" borderId="31" xfId="0" applyNumberFormat="1" applyFont="1" applyBorder="1" applyAlignment="1" applyProtection="1">
      <alignment/>
      <protection locked="0"/>
    </xf>
    <xf numFmtId="10" fontId="36" fillId="0" borderId="17" xfId="0" applyNumberFormat="1" applyFont="1" applyBorder="1" applyAlignment="1" applyProtection="1">
      <alignment/>
      <protection locked="0"/>
    </xf>
    <xf numFmtId="10" fontId="36" fillId="0" borderId="146" xfId="0" applyNumberFormat="1" applyFont="1" applyBorder="1" applyAlignment="1" applyProtection="1">
      <alignment/>
      <protection locked="0"/>
    </xf>
    <xf numFmtId="3" fontId="25" fillId="0" borderId="1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7" fillId="0" borderId="0" xfId="0" applyNumberFormat="1" applyFont="1" applyAlignment="1">
      <alignment/>
    </xf>
    <xf numFmtId="165" fontId="29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65" fontId="26" fillId="0" borderId="13" xfId="0" applyNumberFormat="1" applyFont="1" applyBorder="1" applyAlignment="1">
      <alignment/>
    </xf>
    <xf numFmtId="165" fontId="25" fillId="21" borderId="14" xfId="0" applyNumberFormat="1" applyFont="1" applyFill="1" applyBorder="1" applyAlignment="1">
      <alignment horizontal="center"/>
    </xf>
    <xf numFmtId="165" fontId="25" fillId="21" borderId="15" xfId="0" applyNumberFormat="1" applyFont="1" applyFill="1" applyBorder="1" applyAlignment="1" applyProtection="1">
      <alignment horizontal="center"/>
      <protection locked="0"/>
    </xf>
    <xf numFmtId="165" fontId="25" fillId="21" borderId="15" xfId="0" applyNumberFormat="1" applyFont="1" applyFill="1" applyBorder="1" applyAlignment="1">
      <alignment horizontal="center"/>
    </xf>
    <xf numFmtId="165" fontId="25" fillId="21" borderId="16" xfId="0" applyNumberFormat="1" applyFont="1" applyFill="1" applyBorder="1" applyAlignment="1">
      <alignment horizontal="center"/>
    </xf>
    <xf numFmtId="165" fontId="30" fillId="0" borderId="14" xfId="0" applyNumberFormat="1" applyFont="1" applyBorder="1" applyAlignment="1">
      <alignment/>
    </xf>
    <xf numFmtId="165" fontId="33" fillId="0" borderId="16" xfId="0" applyNumberFormat="1" applyFont="1" applyBorder="1" applyAlignment="1" applyProtection="1">
      <alignment/>
      <protection locked="0"/>
    </xf>
    <xf numFmtId="165" fontId="36" fillId="0" borderId="16" xfId="0" applyNumberFormat="1" applyFont="1" applyBorder="1" applyAlignment="1" applyProtection="1">
      <alignment/>
      <protection locked="0"/>
    </xf>
    <xf numFmtId="165" fontId="30" fillId="0" borderId="30" xfId="0" applyNumberFormat="1" applyFont="1" applyBorder="1" applyAlignment="1" applyProtection="1">
      <alignment/>
      <protection locked="0"/>
    </xf>
    <xf numFmtId="165" fontId="30" fillId="0" borderId="18" xfId="0" applyNumberFormat="1" applyFont="1" applyBorder="1" applyAlignment="1" applyProtection="1">
      <alignment/>
      <protection locked="0"/>
    </xf>
    <xf numFmtId="165" fontId="30" fillId="0" borderId="32" xfId="0" applyNumberFormat="1" applyFont="1" applyBorder="1" applyAlignment="1" applyProtection="1">
      <alignment/>
      <protection locked="0"/>
    </xf>
    <xf numFmtId="165" fontId="30" fillId="0" borderId="14" xfId="0" applyNumberFormat="1" applyFont="1" applyBorder="1" applyAlignment="1" applyProtection="1">
      <alignment/>
      <protection locked="0"/>
    </xf>
    <xf numFmtId="165" fontId="36" fillId="0" borderId="147" xfId="0" applyNumberFormat="1" applyFont="1" applyBorder="1" applyAlignment="1" applyProtection="1">
      <alignment/>
      <protection locked="0"/>
    </xf>
    <xf numFmtId="165" fontId="36" fillId="0" borderId="146" xfId="0" applyNumberFormat="1" applyFont="1" applyBorder="1" applyAlignment="1" applyProtection="1">
      <alignment/>
      <protection locked="0"/>
    </xf>
    <xf numFmtId="165" fontId="31" fillId="0" borderId="0" xfId="0" applyNumberFormat="1" applyFont="1" applyAlignment="1">
      <alignment/>
    </xf>
    <xf numFmtId="165" fontId="33" fillId="0" borderId="0" xfId="0" applyNumberFormat="1" applyFont="1" applyBorder="1" applyAlignment="1">
      <alignment/>
    </xf>
    <xf numFmtId="165" fontId="33" fillId="0" borderId="0" xfId="0" applyNumberFormat="1" applyFont="1" applyAlignment="1">
      <alignment/>
    </xf>
    <xf numFmtId="165" fontId="25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165" fontId="10" fillId="0" borderId="26" xfId="0" applyNumberFormat="1" applyFont="1" applyBorder="1" applyAlignment="1">
      <alignment/>
    </xf>
    <xf numFmtId="165" fontId="10" fillId="0" borderId="14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65" fontId="7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165" fontId="9" fillId="0" borderId="149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26" fillId="21" borderId="150" xfId="0" applyNumberFormat="1" applyFont="1" applyFill="1" applyBorder="1" applyAlignment="1">
      <alignment/>
    </xf>
    <xf numFmtId="0" fontId="25" fillId="21" borderId="150" xfId="0" applyNumberFormat="1" applyFont="1" applyFill="1" applyBorder="1" applyAlignment="1">
      <alignment horizontal="center"/>
    </xf>
    <xf numFmtId="6" fontId="10" fillId="0" borderId="70" xfId="0" applyNumberFormat="1" applyFont="1" applyBorder="1" applyAlignment="1">
      <alignment/>
    </xf>
    <xf numFmtId="6" fontId="10" fillId="0" borderId="49" xfId="0" applyNumberFormat="1" applyFont="1" applyBorder="1" applyAlignment="1">
      <alignment/>
    </xf>
    <xf numFmtId="6" fontId="10" fillId="0" borderId="70" xfId="0" applyNumberFormat="1" applyFont="1" applyBorder="1" applyAlignment="1">
      <alignment/>
    </xf>
    <xf numFmtId="6" fontId="10" fillId="0" borderId="74" xfId="0" applyNumberFormat="1" applyFont="1" applyBorder="1" applyAlignment="1">
      <alignment/>
    </xf>
    <xf numFmtId="6" fontId="10" fillId="0" borderId="71" xfId="0" applyNumberFormat="1" applyFont="1" applyBorder="1" applyAlignment="1">
      <alignment/>
    </xf>
    <xf numFmtId="6" fontId="10" fillId="0" borderId="49" xfId="0" applyNumberFormat="1" applyFont="1" applyBorder="1" applyAlignment="1">
      <alignment/>
    </xf>
    <xf numFmtId="6" fontId="10" fillId="0" borderId="72" xfId="0" applyNumberFormat="1" applyFont="1" applyBorder="1" applyAlignment="1">
      <alignment/>
    </xf>
    <xf numFmtId="5" fontId="10" fillId="0" borderId="85" xfId="60" applyNumberFormat="1" applyFont="1" applyBorder="1" applyProtection="1">
      <alignment/>
      <protection locked="0"/>
    </xf>
    <xf numFmtId="5" fontId="10" fillId="0" borderId="151" xfId="60" applyNumberFormat="1" applyFont="1" applyBorder="1" applyProtection="1">
      <alignment/>
      <protection/>
    </xf>
    <xf numFmtId="5" fontId="10" fillId="0" borderId="62" xfId="60" applyNumberFormat="1" applyFont="1" applyBorder="1" applyProtection="1">
      <alignment/>
      <protection locked="0"/>
    </xf>
    <xf numFmtId="5" fontId="10" fillId="0" borderId="62" xfId="60" applyNumberFormat="1" applyFont="1" applyBorder="1" applyProtection="1">
      <alignment/>
      <protection/>
    </xf>
    <xf numFmtId="5" fontId="10" fillId="0" borderId="83" xfId="60" applyNumberFormat="1" applyFont="1" applyBorder="1" applyProtection="1">
      <alignment/>
      <protection locked="0"/>
    </xf>
    <xf numFmtId="5" fontId="10" fillId="0" borderId="83" xfId="60" applyNumberFormat="1" applyFont="1" applyBorder="1" applyProtection="1">
      <alignment/>
      <protection/>
    </xf>
    <xf numFmtId="5" fontId="10" fillId="0" borderId="89" xfId="60" applyNumberFormat="1" applyFont="1" applyBorder="1" applyProtection="1">
      <alignment/>
      <protection locked="0"/>
    </xf>
    <xf numFmtId="5" fontId="10" fillId="0" borderId="152" xfId="60" applyNumberFormat="1" applyFont="1" applyBorder="1" applyProtection="1">
      <alignment/>
      <protection locked="0"/>
    </xf>
    <xf numFmtId="5" fontId="10" fillId="0" borderId="89" xfId="60" applyNumberFormat="1" applyFont="1" applyBorder="1" applyProtection="1">
      <alignment/>
      <protection/>
    </xf>
    <xf numFmtId="5" fontId="9" fillId="0" borderId="83" xfId="0" applyNumberFormat="1" applyFont="1" applyBorder="1" applyAlignment="1" applyProtection="1">
      <alignment/>
      <protection/>
    </xf>
    <xf numFmtId="5" fontId="9" fillId="0" borderId="88" xfId="0" applyNumberFormat="1" applyFont="1" applyBorder="1" applyAlignment="1" applyProtection="1">
      <alignment/>
      <protection/>
    </xf>
    <xf numFmtId="5" fontId="10" fillId="0" borderId="88" xfId="60" applyNumberFormat="1" applyFont="1" applyBorder="1" applyProtection="1">
      <alignment/>
      <protection/>
    </xf>
    <xf numFmtId="5" fontId="9" fillId="0" borderId="62" xfId="0" applyNumberFormat="1" applyFont="1" applyBorder="1" applyAlignment="1" applyProtection="1">
      <alignment/>
      <protection locked="0"/>
    </xf>
    <xf numFmtId="5" fontId="10" fillId="0" borderId="83" xfId="0" applyNumberFormat="1" applyFont="1" applyBorder="1" applyAlignment="1" applyProtection="1">
      <alignment/>
      <protection locked="0"/>
    </xf>
    <xf numFmtId="5" fontId="10" fillId="0" borderId="88" xfId="0" applyNumberFormat="1" applyFont="1" applyBorder="1" applyAlignment="1" applyProtection="1">
      <alignment/>
      <protection/>
    </xf>
    <xf numFmtId="5" fontId="10" fillId="0" borderId="85" xfId="0" applyNumberFormat="1" applyFont="1" applyBorder="1" applyAlignment="1" applyProtection="1">
      <alignment/>
      <protection locked="0"/>
    </xf>
    <xf numFmtId="5" fontId="10" fillId="0" borderId="85" xfId="0" applyNumberFormat="1" applyFont="1" applyBorder="1" applyAlignment="1" applyProtection="1">
      <alignment/>
      <protection/>
    </xf>
    <xf numFmtId="5" fontId="10" fillId="0" borderId="62" xfId="0" applyNumberFormat="1" applyFont="1" applyBorder="1" applyAlignment="1" applyProtection="1">
      <alignment/>
      <protection locked="0"/>
    </xf>
    <xf numFmtId="5" fontId="10" fillId="0" borderId="83" xfId="0" applyNumberFormat="1" applyFont="1" applyBorder="1" applyAlignment="1" applyProtection="1">
      <alignment/>
      <protection/>
    </xf>
    <xf numFmtId="5" fontId="10" fillId="0" borderId="152" xfId="0" applyNumberFormat="1" applyFont="1" applyBorder="1" applyAlignment="1" applyProtection="1">
      <alignment/>
      <protection/>
    </xf>
    <xf numFmtId="5" fontId="9" fillId="0" borderId="62" xfId="0" applyNumberFormat="1" applyFont="1" applyBorder="1" applyAlignment="1" applyProtection="1">
      <alignment/>
      <protection/>
    </xf>
    <xf numFmtId="41" fontId="10" fillId="0" borderId="21" xfId="0" applyNumberFormat="1" applyFont="1" applyBorder="1" applyAlignment="1">
      <alignment/>
    </xf>
    <xf numFmtId="41" fontId="10" fillId="0" borderId="33" xfId="0" applyNumberFormat="1" applyFont="1" applyBorder="1" applyAlignment="1">
      <alignment/>
    </xf>
    <xf numFmtId="41" fontId="10" fillId="0" borderId="22" xfId="0" applyNumberFormat="1" applyFont="1" applyBorder="1" applyAlignment="1">
      <alignment/>
    </xf>
    <xf numFmtId="41" fontId="10" fillId="0" borderId="19" xfId="0" applyNumberFormat="1" applyFont="1" applyBorder="1" applyAlignment="1">
      <alignment/>
    </xf>
    <xf numFmtId="41" fontId="9" fillId="0" borderId="22" xfId="0" applyNumberFormat="1" applyFont="1" applyBorder="1" applyAlignment="1">
      <alignment/>
    </xf>
    <xf numFmtId="41" fontId="9" fillId="0" borderId="19" xfId="0" applyNumberFormat="1" applyFont="1" applyBorder="1" applyAlignment="1">
      <alignment/>
    </xf>
    <xf numFmtId="41" fontId="10" fillId="0" borderId="24" xfId="0" applyNumberFormat="1" applyFont="1" applyBorder="1" applyAlignment="1">
      <alignment/>
    </xf>
    <xf numFmtId="41" fontId="10" fillId="0" borderId="153" xfId="0" applyNumberFormat="1" applyFont="1" applyBorder="1" applyAlignment="1">
      <alignment/>
    </xf>
    <xf numFmtId="41" fontId="10" fillId="0" borderId="23" xfId="0" applyNumberFormat="1" applyFont="1" applyBorder="1" applyAlignment="1">
      <alignment/>
    </xf>
    <xf numFmtId="41" fontId="10" fillId="0" borderId="143" xfId="0" applyNumberFormat="1" applyFont="1" applyBorder="1" applyAlignment="1">
      <alignment/>
    </xf>
    <xf numFmtId="41" fontId="9" fillId="0" borderId="25" xfId="0" applyNumberFormat="1" applyFont="1" applyBorder="1" applyAlignment="1">
      <alignment/>
    </xf>
    <xf numFmtId="41" fontId="9" fillId="0" borderId="41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41" fontId="10" fillId="0" borderId="23" xfId="0" applyNumberFormat="1" applyFont="1" applyBorder="1" applyAlignment="1">
      <alignment/>
    </xf>
    <xf numFmtId="41" fontId="9" fillId="0" borderId="154" xfId="0" applyNumberFormat="1" applyFont="1" applyBorder="1" applyAlignment="1">
      <alignment/>
    </xf>
    <xf numFmtId="41" fontId="9" fillId="0" borderId="26" xfId="0" applyNumberFormat="1" applyFont="1" applyBorder="1" applyAlignment="1">
      <alignment/>
    </xf>
    <xf numFmtId="41" fontId="9" fillId="0" borderId="43" xfId="0" applyNumberFormat="1" applyFont="1" applyBorder="1" applyAlignment="1">
      <alignment/>
    </xf>
    <xf numFmtId="41" fontId="10" fillId="25" borderId="21" xfId="0" applyNumberFormat="1" applyFont="1" applyFill="1" applyBorder="1" applyAlignment="1">
      <alignment/>
    </xf>
    <xf numFmtId="41" fontId="10" fillId="25" borderId="33" xfId="0" applyNumberFormat="1" applyFont="1" applyFill="1" applyBorder="1" applyAlignment="1">
      <alignment/>
    </xf>
    <xf numFmtId="41" fontId="10" fillId="0" borderId="21" xfId="0" applyNumberFormat="1" applyFont="1" applyFill="1" applyBorder="1" applyAlignment="1">
      <alignment/>
    </xf>
    <xf numFmtId="41" fontId="10" fillId="0" borderId="22" xfId="0" applyNumberFormat="1" applyFont="1" applyFill="1" applyBorder="1" applyAlignment="1">
      <alignment/>
    </xf>
    <xf numFmtId="41" fontId="10" fillId="25" borderId="22" xfId="0" applyNumberFormat="1" applyFont="1" applyFill="1" applyBorder="1" applyAlignment="1">
      <alignment/>
    </xf>
    <xf numFmtId="41" fontId="10" fillId="25" borderId="19" xfId="0" applyNumberFormat="1" applyFont="1" applyFill="1" applyBorder="1" applyAlignment="1">
      <alignment/>
    </xf>
    <xf numFmtId="41" fontId="10" fillId="25" borderId="25" xfId="0" applyNumberFormat="1" applyFont="1" applyFill="1" applyBorder="1" applyAlignment="1">
      <alignment/>
    </xf>
    <xf numFmtId="41" fontId="10" fillId="0" borderId="25" xfId="0" applyNumberFormat="1" applyFont="1" applyFill="1" applyBorder="1" applyAlignment="1">
      <alignment/>
    </xf>
    <xf numFmtId="41" fontId="10" fillId="25" borderId="41" xfId="0" applyNumberFormat="1" applyFont="1" applyFill="1" applyBorder="1" applyAlignment="1">
      <alignment/>
    </xf>
    <xf numFmtId="41" fontId="10" fillId="0" borderId="21" xfId="0" applyNumberFormat="1" applyFont="1" applyFill="1" applyBorder="1" applyAlignment="1">
      <alignment/>
    </xf>
    <xf numFmtId="41" fontId="10" fillId="0" borderId="25" xfId="0" applyNumberFormat="1" applyFont="1" applyBorder="1" applyAlignment="1">
      <alignment/>
    </xf>
    <xf numFmtId="41" fontId="10" fillId="0" borderId="42" xfId="0" applyNumberFormat="1" applyFont="1" applyBorder="1" applyAlignment="1">
      <alignment/>
    </xf>
    <xf numFmtId="41" fontId="10" fillId="0" borderId="21" xfId="0" applyNumberFormat="1" applyFont="1" applyBorder="1" applyAlignment="1">
      <alignment/>
    </xf>
    <xf numFmtId="41" fontId="10" fillId="25" borderId="26" xfId="0" applyNumberFormat="1" applyFont="1" applyFill="1" applyBorder="1" applyAlignment="1">
      <alignment/>
    </xf>
    <xf numFmtId="41" fontId="10" fillId="0" borderId="26" xfId="0" applyNumberFormat="1" applyFont="1" applyFill="1" applyBorder="1" applyAlignment="1">
      <alignment/>
    </xf>
    <xf numFmtId="41" fontId="10" fillId="25" borderId="43" xfId="0" applyNumberFormat="1" applyFont="1" applyFill="1" applyBorder="1" applyAlignment="1">
      <alignment/>
    </xf>
    <xf numFmtId="0" fontId="9" fillId="25" borderId="106" xfId="0" applyNumberFormat="1" applyFont="1" applyFill="1" applyBorder="1" applyAlignment="1">
      <alignment horizontal="center"/>
    </xf>
    <xf numFmtId="0" fontId="9" fillId="25" borderId="54" xfId="0" applyNumberFormat="1" applyFont="1" applyFill="1" applyBorder="1" applyAlignment="1">
      <alignment horizontal="center"/>
    </xf>
    <xf numFmtId="0" fontId="9" fillId="25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25" borderId="79" xfId="0" applyNumberFormat="1" applyFont="1" applyFill="1" applyBorder="1" applyAlignment="1">
      <alignment horizontal="center"/>
    </xf>
    <xf numFmtId="41" fontId="10" fillId="25" borderId="155" xfId="0" applyNumberFormat="1" applyFont="1" applyFill="1" applyBorder="1" applyAlignment="1">
      <alignment/>
    </xf>
    <xf numFmtId="41" fontId="10" fillId="25" borderId="156" xfId="0" applyNumberFormat="1" applyFont="1" applyFill="1" applyBorder="1" applyAlignment="1">
      <alignment/>
    </xf>
    <xf numFmtId="41" fontId="10" fillId="0" borderId="156" xfId="0" applyNumberFormat="1" applyFont="1" applyFill="1" applyBorder="1" applyAlignment="1">
      <alignment/>
    </xf>
    <xf numFmtId="41" fontId="10" fillId="25" borderId="157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1" fontId="10" fillId="25" borderId="106" xfId="0" applyNumberFormat="1" applyFont="1" applyFill="1" applyBorder="1" applyAlignment="1">
      <alignment/>
    </xf>
    <xf numFmtId="41" fontId="10" fillId="0" borderId="106" xfId="0" applyNumberFormat="1" applyFont="1" applyFill="1" applyBorder="1" applyAlignment="1">
      <alignment/>
    </xf>
    <xf numFmtId="41" fontId="10" fillId="25" borderId="54" xfId="0" applyNumberFormat="1" applyFont="1" applyFill="1" applyBorder="1" applyAlignment="1">
      <alignment/>
    </xf>
    <xf numFmtId="41" fontId="10" fillId="25" borderId="158" xfId="0" applyNumberFormat="1" applyFont="1" applyFill="1" applyBorder="1" applyAlignment="1">
      <alignment/>
    </xf>
    <xf numFmtId="0" fontId="10" fillId="25" borderId="141" xfId="0" applyNumberFormat="1" applyFont="1" applyFill="1" applyBorder="1" applyAlignment="1">
      <alignment horizontal="left" indent="2"/>
    </xf>
    <xf numFmtId="0" fontId="10" fillId="25" borderId="63" xfId="0" applyNumberFormat="1" applyFont="1" applyFill="1" applyBorder="1" applyAlignment="1">
      <alignment horizontal="left"/>
    </xf>
    <xf numFmtId="3" fontId="9" fillId="0" borderId="25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0" fontId="23" fillId="0" borderId="22" xfId="0" applyNumberFormat="1" applyFont="1" applyBorder="1" applyAlignment="1">
      <alignment/>
    </xf>
    <xf numFmtId="0" fontId="23" fillId="0" borderId="19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164" fontId="23" fillId="0" borderId="21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164" fontId="23" fillId="0" borderId="22" xfId="0" applyNumberFormat="1" applyFont="1" applyBorder="1" applyAlignment="1">
      <alignment/>
    </xf>
    <xf numFmtId="164" fontId="23" fillId="0" borderId="3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164" fontId="23" fillId="0" borderId="33" xfId="0" applyNumberFormat="1" applyFont="1" applyBorder="1" applyAlignment="1">
      <alignment/>
    </xf>
    <xf numFmtId="164" fontId="23" fillId="0" borderId="21" xfId="0" applyNumberFormat="1" applyFont="1" applyBorder="1" applyAlignment="1">
      <alignment/>
    </xf>
    <xf numFmtId="164" fontId="23" fillId="0" borderId="25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59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5" fontId="13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5" fontId="14" fillId="0" borderId="0" xfId="0" applyNumberFormat="1" applyFont="1" applyBorder="1" applyAlignment="1">
      <alignment/>
    </xf>
    <xf numFmtId="5" fontId="13" fillId="0" borderId="0" xfId="0" applyNumberFormat="1" applyFont="1" applyBorder="1" applyAlignment="1">
      <alignment/>
    </xf>
    <xf numFmtId="5" fontId="14" fillId="0" borderId="0" xfId="0" applyNumberFormat="1" applyFont="1" applyBorder="1" applyAlignment="1">
      <alignment/>
    </xf>
    <xf numFmtId="5" fontId="8" fillId="0" borderId="0" xfId="0" applyNumberFormat="1" applyFont="1" applyBorder="1" applyAlignment="1">
      <alignment/>
    </xf>
    <xf numFmtId="5" fontId="8" fillId="0" borderId="160" xfId="0" applyNumberFormat="1" applyFont="1" applyBorder="1" applyAlignment="1">
      <alignment/>
    </xf>
    <xf numFmtId="5" fontId="13" fillId="0" borderId="75" xfId="0" applyNumberFormat="1" applyFont="1" applyBorder="1" applyAlignment="1">
      <alignment/>
    </xf>
    <xf numFmtId="5" fontId="10" fillId="0" borderId="75" xfId="0" applyNumberFormat="1" applyFont="1" applyBorder="1" applyAlignment="1">
      <alignment/>
    </xf>
    <xf numFmtId="5" fontId="10" fillId="0" borderId="75" xfId="0" applyNumberFormat="1" applyFont="1" applyBorder="1" applyAlignment="1">
      <alignment/>
    </xf>
    <xf numFmtId="5" fontId="0" fillId="0" borderId="75" xfId="0" applyNumberFormat="1" applyFont="1" applyBorder="1" applyAlignment="1">
      <alignment/>
    </xf>
    <xf numFmtId="5" fontId="10" fillId="0" borderId="75" xfId="0" applyNumberFormat="1" applyFont="1" applyBorder="1" applyAlignment="1">
      <alignment/>
    </xf>
    <xf numFmtId="5" fontId="9" fillId="0" borderId="75" xfId="0" applyNumberFormat="1" applyFont="1" applyBorder="1" applyAlignment="1">
      <alignment/>
    </xf>
    <xf numFmtId="5" fontId="0" fillId="0" borderId="161" xfId="0" applyNumberFormat="1" applyFont="1" applyBorder="1" applyAlignment="1">
      <alignment/>
    </xf>
    <xf numFmtId="5" fontId="9" fillId="0" borderId="54" xfId="0" applyNumberFormat="1" applyFont="1" applyBorder="1" applyAlignment="1">
      <alignment horizontal="center"/>
    </xf>
    <xf numFmtId="5" fontId="9" fillId="0" borderId="33" xfId="0" applyNumberFormat="1" applyFont="1" applyBorder="1" applyAlignment="1">
      <alignment horizontal="center"/>
    </xf>
    <xf numFmtId="5" fontId="10" fillId="0" borderId="155" xfId="0" applyNumberFormat="1" applyFont="1" applyBorder="1" applyAlignment="1">
      <alignment/>
    </xf>
    <xf numFmtId="5" fontId="10" fillId="0" borderId="79" xfId="0" applyNumberFormat="1" applyFont="1" applyBorder="1" applyAlignment="1">
      <alignment/>
    </xf>
    <xf numFmtId="5" fontId="10" fillId="0" borderId="155" xfId="0" applyNumberFormat="1" applyFont="1" applyBorder="1" applyAlignment="1">
      <alignment/>
    </xf>
    <xf numFmtId="5" fontId="9" fillId="0" borderId="155" xfId="0" applyNumberFormat="1" applyFont="1" applyBorder="1" applyAlignment="1">
      <alignment/>
    </xf>
    <xf numFmtId="5" fontId="10" fillId="0" borderId="158" xfId="0" applyNumberFormat="1" applyFont="1" applyBorder="1" applyAlignment="1">
      <alignment/>
    </xf>
    <xf numFmtId="5" fontId="9" fillId="0" borderId="157" xfId="0" applyNumberFormat="1" applyFont="1" applyBorder="1" applyAlignment="1">
      <alignment/>
    </xf>
    <xf numFmtId="5" fontId="6" fillId="0" borderId="0" xfId="0" applyNumberFormat="1" applyFont="1" applyAlignment="1">
      <alignment/>
    </xf>
    <xf numFmtId="5" fontId="8" fillId="0" borderId="64" xfId="0" applyNumberFormat="1" applyFont="1" applyBorder="1" applyAlignment="1">
      <alignment/>
    </xf>
    <xf numFmtId="5" fontId="13" fillId="0" borderId="62" xfId="0" applyNumberFormat="1" applyFont="1" applyBorder="1" applyAlignment="1">
      <alignment/>
    </xf>
    <xf numFmtId="5" fontId="10" fillId="0" borderId="62" xfId="0" applyNumberFormat="1" applyFont="1" applyBorder="1" applyAlignment="1">
      <alignment/>
    </xf>
    <xf numFmtId="5" fontId="10" fillId="0" borderId="62" xfId="0" applyNumberFormat="1" applyFont="1" applyBorder="1" applyAlignment="1">
      <alignment/>
    </xf>
    <xf numFmtId="5" fontId="0" fillId="0" borderId="62" xfId="0" applyNumberFormat="1" applyFont="1" applyBorder="1" applyAlignment="1">
      <alignment/>
    </xf>
    <xf numFmtId="5" fontId="10" fillId="0" borderId="62" xfId="0" applyNumberFormat="1" applyFont="1" applyBorder="1" applyAlignment="1">
      <alignment/>
    </xf>
    <xf numFmtId="5" fontId="9" fillId="0" borderId="62" xfId="0" applyNumberFormat="1" applyFont="1" applyBorder="1" applyAlignment="1">
      <alignment/>
    </xf>
    <xf numFmtId="5" fontId="0" fillId="0" borderId="67" xfId="0" applyNumberFormat="1" applyFont="1" applyBorder="1" applyAlignment="1">
      <alignment/>
    </xf>
    <xf numFmtId="165" fontId="36" fillId="0" borderId="14" xfId="0" applyNumberFormat="1" applyFont="1" applyBorder="1" applyAlignment="1" applyProtection="1">
      <alignment/>
      <protection locked="0"/>
    </xf>
    <xf numFmtId="10" fontId="36" fillId="0" borderId="18" xfId="0" applyNumberFormat="1" applyFont="1" applyBorder="1" applyAlignment="1" applyProtection="1">
      <alignment/>
      <protection locked="0"/>
    </xf>
    <xf numFmtId="165" fontId="32" fillId="0" borderId="16" xfId="0" applyNumberFormat="1" applyFont="1" applyBorder="1" applyAlignment="1" applyProtection="1">
      <alignment/>
      <protection locked="0"/>
    </xf>
    <xf numFmtId="3" fontId="54" fillId="0" borderId="0" xfId="0" applyNumberFormat="1" applyFont="1" applyAlignment="1">
      <alignment/>
    </xf>
    <xf numFmtId="3" fontId="6" fillId="0" borderId="16" xfId="0" applyNumberFormat="1" applyFont="1" applyBorder="1" applyAlignment="1" applyProtection="1" quotePrefix="1">
      <alignment/>
      <protection locked="0"/>
    </xf>
    <xf numFmtId="165" fontId="55" fillId="0" borderId="16" xfId="0" applyNumberFormat="1" applyFont="1" applyBorder="1" applyAlignment="1" applyProtection="1">
      <alignment/>
      <protection locked="0"/>
    </xf>
    <xf numFmtId="165" fontId="55" fillId="0" borderId="17" xfId="0" applyNumberFormat="1" applyFont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4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2008 BoR 2 - Financing other than state funds" xfId="58"/>
    <cellStyle name="Normal_BOR Forms - FY 2007" xfId="59"/>
    <cellStyle name="Normal_BPCC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ori.Parker\Local%20Settings\Temporary%20Internet%20Files\OLKEB\LCTCS%20Forms\LTC%20BOR%20Rollup%202009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 1"/>
      <sheetName val="LTC"/>
      <sheetName val="BOR-2"/>
      <sheetName val="BOR-3  "/>
    </sheetNames>
    <sheetDataSet>
      <sheetData sheetId="2">
        <row r="21">
          <cell r="B21">
            <v>12560549.780000001</v>
          </cell>
          <cell r="C21">
            <v>14479157</v>
          </cell>
          <cell r="D21">
            <v>12728500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35" zoomScaleNormal="35" zoomScalePageLayoutView="0" workbookViewId="0" topLeftCell="A1">
      <selection activeCell="A6" sqref="A6"/>
    </sheetView>
  </sheetViews>
  <sheetFormatPr defaultColWidth="9.6640625" defaultRowHeight="15"/>
  <cols>
    <col min="1" max="1" width="135.10546875" style="1" customWidth="1"/>
    <col min="2" max="2" width="32.10546875" style="1" customWidth="1"/>
    <col min="3" max="4" width="33.99609375" style="1" bestFit="1" customWidth="1"/>
    <col min="5" max="5" width="30.77734375" style="1" customWidth="1"/>
    <col min="6" max="6" width="49.4453125" style="29" customWidth="1"/>
    <col min="7" max="7" width="1.66796875" style="1" customWidth="1"/>
    <col min="8" max="16384" width="9.6640625" style="1" customWidth="1"/>
  </cols>
  <sheetData>
    <row r="1" spans="1:12" ht="45">
      <c r="A1" s="9" t="s">
        <v>2</v>
      </c>
      <c r="B1" s="17" t="s">
        <v>0</v>
      </c>
      <c r="D1" s="12" t="s">
        <v>3</v>
      </c>
      <c r="E1" s="19" t="s">
        <v>8</v>
      </c>
      <c r="G1" s="67"/>
      <c r="H1" s="67"/>
      <c r="I1" s="67"/>
      <c r="J1" s="67"/>
      <c r="K1" s="67"/>
      <c r="L1" s="67"/>
    </row>
    <row r="2" spans="1:12" ht="45">
      <c r="A2" s="9" t="s">
        <v>9</v>
      </c>
      <c r="B2" s="5"/>
      <c r="C2" s="5"/>
      <c r="D2" s="5"/>
      <c r="E2" s="5"/>
      <c r="F2" s="20"/>
      <c r="G2" s="5"/>
      <c r="H2" s="5"/>
      <c r="I2" s="5"/>
      <c r="J2" s="5"/>
      <c r="K2" s="5"/>
      <c r="L2" s="5"/>
    </row>
    <row r="3" spans="1:12" ht="65.25" customHeight="1" thickBot="1">
      <c r="A3" s="10" t="s">
        <v>10</v>
      </c>
      <c r="B3" s="7"/>
      <c r="C3" s="7"/>
      <c r="D3" s="7"/>
      <c r="E3" s="7"/>
      <c r="F3" s="21"/>
      <c r="G3" s="7"/>
      <c r="H3" s="7"/>
      <c r="I3" s="7"/>
      <c r="J3" s="7"/>
      <c r="K3" s="7"/>
      <c r="L3" s="7"/>
    </row>
    <row r="4" spans="1:10" ht="51" customHeight="1" thickTop="1">
      <c r="A4" s="34" t="s">
        <v>11</v>
      </c>
      <c r="B4" s="13" t="s">
        <v>4</v>
      </c>
      <c r="C4" s="31" t="s">
        <v>5</v>
      </c>
      <c r="D4" s="31" t="s">
        <v>5</v>
      </c>
      <c r="E4" s="14" t="s">
        <v>7</v>
      </c>
      <c r="F4" s="22" t="s">
        <v>1</v>
      </c>
      <c r="G4" s="4"/>
      <c r="J4" s="2"/>
    </row>
    <row r="5" spans="1:10" ht="35.25">
      <c r="A5" s="35"/>
      <c r="B5" s="15" t="s">
        <v>70</v>
      </c>
      <c r="C5" s="15" t="s">
        <v>202</v>
      </c>
      <c r="D5" s="15" t="s">
        <v>201</v>
      </c>
      <c r="E5" s="15" t="s">
        <v>70</v>
      </c>
      <c r="F5" s="23" t="s">
        <v>6</v>
      </c>
      <c r="G5" s="4"/>
      <c r="J5" s="2"/>
    </row>
    <row r="6" spans="1:10" ht="35.25">
      <c r="A6" s="36" t="s">
        <v>12</v>
      </c>
      <c r="B6" s="8"/>
      <c r="C6" s="8"/>
      <c r="D6" s="8"/>
      <c r="E6" s="68"/>
      <c r="F6" s="24"/>
      <c r="G6" s="4"/>
      <c r="J6" s="2"/>
    </row>
    <row r="7" spans="1:10" ht="34.5">
      <c r="A7" s="35" t="s">
        <v>13</v>
      </c>
      <c r="B7" s="30">
        <f>LUMCON!B7+BOR!B7+'TOTAL ULS SYSTEM'!B7+'TOTAL LSU SYSTEM'!B7+'TOTAL SU SYSTEM'!B7+'TOTAL LCTCS'!B7</f>
        <v>140652448</v>
      </c>
      <c r="C7" s="30">
        <f>LUMCON!C7+BOR!C7+'TOTAL ULS SYSTEM'!C7+'TOTAL LSU SYSTEM'!C7+'TOTAL SU SYSTEM'!C7+'TOTAL LCTCS'!C7</f>
        <v>141132863</v>
      </c>
      <c r="D7" s="30">
        <f>LUMCON!D7+BOR!D7+'TOTAL ULS SYSTEM'!D7+'TOTAL LSU SYSTEM'!D7+'TOTAL SU SYSTEM'!D7+'TOTAL LCTCS'!D7</f>
        <v>131962937</v>
      </c>
      <c r="E7" s="16">
        <f>LUMCON!E7+BOR!E7+'TOTAL ULS SYSTEM'!E7+'TOTAL LSU SYSTEM'!E7+'TOTAL SU SYSTEM'!E7+'TOTAL LCTCS'!E7</f>
        <v>-9169926</v>
      </c>
      <c r="F7" s="58"/>
      <c r="G7" s="4"/>
      <c r="J7" s="2"/>
    </row>
    <row r="8" spans="1:10" ht="34.5">
      <c r="A8" s="37" t="s">
        <v>14</v>
      </c>
      <c r="B8" s="30">
        <f>LUMCON!B8+BOR!B8+'TOTAL ULS SYSTEM'!B8+'TOTAL LSU SYSTEM'!B8+'TOTAL SU SYSTEM'!B8+'TOTAL LCTCS'!B8</f>
        <v>182908585</v>
      </c>
      <c r="C8" s="30">
        <f>LUMCON!C8+BOR!C8+'TOTAL ULS SYSTEM'!C8+'TOTAL LSU SYSTEM'!C8+'TOTAL SU SYSTEM'!C8+'TOTAL LCTCS'!C8</f>
        <v>184017521</v>
      </c>
      <c r="D8" s="30">
        <f>LUMCON!D8+BOR!D8+'TOTAL ULS SYSTEM'!D8+'TOTAL LSU SYSTEM'!D8+'TOTAL SU SYSTEM'!D8+'TOTAL LCTCS'!D8</f>
        <v>207532417</v>
      </c>
      <c r="E8" s="16">
        <f>LUMCON!E8+BOR!E8+'TOTAL ULS SYSTEM'!E8+'TOTAL LSU SYSTEM'!E8+'TOTAL SU SYSTEM'!E8+'TOTAL LCTCS'!E8</f>
        <v>23514896</v>
      </c>
      <c r="F8" s="25">
        <f>E8/C8</f>
        <v>0.1277861796649244</v>
      </c>
      <c r="G8" s="4"/>
      <c r="J8" s="2"/>
    </row>
    <row r="9" spans="1:10" ht="34.5">
      <c r="A9" s="38" t="s">
        <v>15</v>
      </c>
      <c r="B9" s="30">
        <f>LUMCON!B9+BOR!B9+'TOTAL ULS SYSTEM'!B9+'TOTAL LSU SYSTEM'!B9+'TOTAL SU SYSTEM'!B9+'TOTAL LCTCS'!B9</f>
        <v>35529924</v>
      </c>
      <c r="C9" s="30">
        <f>LUMCON!C9+BOR!C9+'TOTAL ULS SYSTEM'!C9+'TOTAL LSU SYSTEM'!C9+'TOTAL SU SYSTEM'!C9+'TOTAL LCTCS'!C9</f>
        <v>39169464</v>
      </c>
      <c r="D9" s="30">
        <f>LUMCON!D9+BOR!D9+'TOTAL ULS SYSTEM'!D9+'TOTAL LSU SYSTEM'!D9+'TOTAL SU SYSTEM'!D9+'TOTAL LCTCS'!D9</f>
        <v>39169464</v>
      </c>
      <c r="E9" s="30">
        <f>LUMCON!E9+BOR!E9+'TOTAL ULS SYSTEM'!E9+'TOTAL LSU SYSTEM'!E9+'TOTAL SU SYSTEM'!E9+'TOTAL LCTCS'!E9</f>
        <v>0</v>
      </c>
      <c r="F9" s="25">
        <f aca="true" t="shared" si="0" ref="F9:F30">E9/C9</f>
        <v>0</v>
      </c>
      <c r="G9" s="4"/>
      <c r="J9" s="2"/>
    </row>
    <row r="10" spans="1:10" ht="34.5">
      <c r="A10" s="39" t="s">
        <v>16</v>
      </c>
      <c r="B10" s="30">
        <f>LUMCON!B10+BOR!B10+'TOTAL ULS SYSTEM'!B10+'TOTAL LSU SYSTEM'!B10+'TOTAL SU SYSTEM'!B10+'TOTAL LCTCS'!B10</f>
        <v>8378485</v>
      </c>
      <c r="C10" s="30">
        <f>LUMCON!C10+BOR!C10+'TOTAL ULS SYSTEM'!C10+'TOTAL LSU SYSTEM'!C10+'TOTAL SU SYSTEM'!C10+'TOTAL LCTCS'!C10</f>
        <v>7972920</v>
      </c>
      <c r="D10" s="30">
        <f>LUMCON!D10+BOR!D10+'TOTAL ULS SYSTEM'!D10+'TOTAL LSU SYSTEM'!D10+'TOTAL SU SYSTEM'!D10+'TOTAL LCTCS'!D10</f>
        <v>8071174</v>
      </c>
      <c r="E10" s="30">
        <f>LUMCON!E10+BOR!E10+'TOTAL ULS SYSTEM'!E10+'TOTAL LSU SYSTEM'!E10+'TOTAL SU SYSTEM'!E10+'TOTAL LCTCS'!E10</f>
        <v>98254</v>
      </c>
      <c r="F10" s="25">
        <f t="shared" si="0"/>
        <v>0.012323464928783934</v>
      </c>
      <c r="G10" s="4"/>
      <c r="J10" s="2"/>
    </row>
    <row r="11" spans="1:10" ht="34.5">
      <c r="A11" s="39" t="s">
        <v>17</v>
      </c>
      <c r="B11" s="30">
        <f>LUMCON!B11+BOR!B11+'TOTAL ULS SYSTEM'!B11+'TOTAL LSU SYSTEM'!B11+'TOTAL SU SYSTEM'!B11+'TOTAL LCTCS'!B11</f>
        <v>13732833</v>
      </c>
      <c r="C11" s="30">
        <f>LUMCON!C11+BOR!C11+'TOTAL ULS SYSTEM'!C11+'TOTAL LSU SYSTEM'!C11+'TOTAL SU SYSTEM'!C11+'TOTAL LCTCS'!C11</f>
        <v>49995768</v>
      </c>
      <c r="D11" s="30">
        <f>LUMCON!D11+BOR!D11+'TOTAL ULS SYSTEM'!D11+'TOTAL LSU SYSTEM'!D11+'TOTAL SU SYSTEM'!D11+'TOTAL LCTCS'!D11</f>
        <v>37941216</v>
      </c>
      <c r="E11" s="30">
        <f>LUMCON!E11+BOR!E11+'TOTAL ULS SYSTEM'!E11+'TOTAL LSU SYSTEM'!E11+'TOTAL SU SYSTEM'!E11+'TOTAL LCTCS'!E11</f>
        <v>-12054552</v>
      </c>
      <c r="F11" s="25">
        <f t="shared" si="0"/>
        <v>-0.24111144767293105</v>
      </c>
      <c r="G11" s="4"/>
      <c r="J11" s="2"/>
    </row>
    <row r="12" spans="1:10" ht="35.25">
      <c r="A12" s="40" t="s">
        <v>18</v>
      </c>
      <c r="B12" s="30">
        <f>LUMCON!B12+BOR!B12+'TOTAL ULS SYSTEM'!B12+'TOTAL LSU SYSTEM'!B12+'TOTAL SU SYSTEM'!B12+'TOTAL LCTCS'!B12</f>
        <v>381202275</v>
      </c>
      <c r="C12" s="30">
        <f>LUMCON!C12+BOR!C12+'TOTAL ULS SYSTEM'!C12+'TOTAL LSU SYSTEM'!C12+'TOTAL SU SYSTEM'!C12+'TOTAL LCTCS'!C12</f>
        <v>422288536</v>
      </c>
      <c r="D12" s="30">
        <f>LUMCON!D12+BOR!D12+'TOTAL ULS SYSTEM'!D12+'TOTAL LSU SYSTEM'!D12+'TOTAL SU SYSTEM'!D12+'TOTAL LCTCS'!D12</f>
        <v>424677208</v>
      </c>
      <c r="E12" s="30">
        <f>LUMCON!E12+BOR!E12+'TOTAL ULS SYSTEM'!E12+'TOTAL LSU SYSTEM'!E12+'TOTAL SU SYSTEM'!E12+'TOTAL LCTCS'!E12</f>
        <v>2388672</v>
      </c>
      <c r="F12" s="25">
        <f t="shared" si="0"/>
        <v>0.005656492649850196</v>
      </c>
      <c r="G12" s="4"/>
      <c r="J12" s="2"/>
    </row>
    <row r="13" spans="1:10" ht="35.25">
      <c r="A13" s="36" t="s">
        <v>19</v>
      </c>
      <c r="B13" s="64"/>
      <c r="C13" s="55"/>
      <c r="D13" s="55"/>
      <c r="E13" s="65"/>
      <c r="F13" s="33"/>
      <c r="G13" s="4"/>
      <c r="J13" s="2"/>
    </row>
    <row r="14" spans="1:10" ht="35.25">
      <c r="A14" s="41" t="s">
        <v>20</v>
      </c>
      <c r="B14" s="54"/>
      <c r="C14" s="56"/>
      <c r="D14" s="56"/>
      <c r="E14" s="66"/>
      <c r="F14" s="60"/>
      <c r="G14" s="4"/>
      <c r="J14" s="2"/>
    </row>
    <row r="15" spans="1:10" ht="34.5">
      <c r="A15" s="35" t="s">
        <v>21</v>
      </c>
      <c r="B15" s="111">
        <f>LUMCON!B15+BOR!B15+'TOTAL ULS SYSTEM'!B15+'TOTAL LSU SYSTEM'!B15+'TOTAL SU SYSTEM'!B15+'TOTAL LCTCS'!B15</f>
        <v>418266061.32</v>
      </c>
      <c r="C15" s="112">
        <f>LUMCON!C15+BOR!C15+'TOTAL ULS SYSTEM'!C15+'TOTAL LSU SYSTEM'!C15+'TOTAL SU SYSTEM'!C15+'TOTAL LCTCS'!C15</f>
        <v>441509944</v>
      </c>
      <c r="D15" s="112">
        <f>LUMCON!D15+BOR!D15+'TOTAL ULS SYSTEM'!D15+'TOTAL LSU SYSTEM'!D15+'TOTAL SU SYSTEM'!D15+'TOTAL LCTCS'!D15</f>
        <v>456750592</v>
      </c>
      <c r="E15" s="113">
        <f>LUMCON!E15+BOR!E15+'TOTAL ULS SYSTEM'!E15+'TOTAL LSU SYSTEM'!E15+'TOTAL SU SYSTEM'!E15+'TOTAL LCTCS'!E15</f>
        <v>15240648</v>
      </c>
      <c r="F15" s="60">
        <f t="shared" si="0"/>
        <v>0.03451937653300058</v>
      </c>
      <c r="G15" s="4"/>
      <c r="J15" s="2"/>
    </row>
    <row r="16" spans="1:10" ht="34.5">
      <c r="A16" s="35" t="s">
        <v>22</v>
      </c>
      <c r="B16" s="111">
        <f>LUMCON!B16+BOR!B16+'TOTAL ULS SYSTEM'!B16+'TOTAL LSU SYSTEM'!B16+'TOTAL SU SYSTEM'!B16+'TOTAL LCTCS'!B16</f>
        <v>71652461.86</v>
      </c>
      <c r="C16" s="112">
        <f>LUMCON!C16+BOR!C16+'TOTAL ULS SYSTEM'!C16+'TOTAL LSU SYSTEM'!C16+'TOTAL SU SYSTEM'!C16+'TOTAL LCTCS'!C16</f>
        <v>70175716</v>
      </c>
      <c r="D16" s="112">
        <f>LUMCON!D16+BOR!D16+'TOTAL ULS SYSTEM'!D16+'TOTAL LSU SYSTEM'!D16+'TOTAL SU SYSTEM'!D16+'TOTAL LCTCS'!D16</f>
        <v>74649325</v>
      </c>
      <c r="E16" s="113">
        <f>LUMCON!E16+BOR!E16+'TOTAL ULS SYSTEM'!E16+'TOTAL LSU SYSTEM'!E16+'TOTAL SU SYSTEM'!E16+'TOTAL LCTCS'!E16</f>
        <v>4473609</v>
      </c>
      <c r="F16" s="60">
        <f t="shared" si="0"/>
        <v>0.06374867625148278</v>
      </c>
      <c r="G16" s="4"/>
      <c r="J16" s="2"/>
    </row>
    <row r="17" spans="1:10" ht="34.5">
      <c r="A17" s="42" t="s">
        <v>23</v>
      </c>
      <c r="B17" s="111">
        <f>LUMCON!B17+BOR!B17+'TOTAL ULS SYSTEM'!B17+'TOTAL LSU SYSTEM'!B17+'TOTAL SU SYSTEM'!B17+'TOTAL LCTCS'!B17</f>
        <v>44227097.34</v>
      </c>
      <c r="C17" s="112">
        <f>LUMCON!C17+BOR!C17+'TOTAL ULS SYSTEM'!C17+'TOTAL LSU SYSTEM'!C17+'TOTAL SU SYSTEM'!C17+'TOTAL LCTCS'!C17</f>
        <v>47426223</v>
      </c>
      <c r="D17" s="112">
        <f>LUMCON!D17+BOR!D17+'TOTAL ULS SYSTEM'!D17+'TOTAL LSU SYSTEM'!D17+'TOTAL SU SYSTEM'!D17+'TOTAL LCTCS'!D17</f>
        <v>46060461</v>
      </c>
      <c r="E17" s="113">
        <f>LUMCON!E17+BOR!E17+'TOTAL ULS SYSTEM'!E17+'TOTAL LSU SYSTEM'!E17+'TOTAL SU SYSTEM'!E17+'TOTAL LCTCS'!E17</f>
        <v>-1365762</v>
      </c>
      <c r="F17" s="60">
        <f t="shared" si="0"/>
        <v>-0.02879761266251373</v>
      </c>
      <c r="G17" s="4"/>
      <c r="J17" s="2"/>
    </row>
    <row r="18" spans="1:10" ht="34.5">
      <c r="A18" s="42" t="s">
        <v>24</v>
      </c>
      <c r="B18" s="111">
        <f>LUMCON!B18+BOR!B18+'TOTAL ULS SYSTEM'!B18+'TOTAL LSU SYSTEM'!B18+'TOTAL SU SYSTEM'!B18+'TOTAL LCTCS'!B18</f>
        <v>19806012.64</v>
      </c>
      <c r="C18" s="112">
        <f>LUMCON!C18+BOR!C18+'TOTAL ULS SYSTEM'!C18+'TOTAL LSU SYSTEM'!C18+'TOTAL SU SYSTEM'!C18+'TOTAL LCTCS'!C18</f>
        <v>20862411</v>
      </c>
      <c r="D18" s="112">
        <f>LUMCON!D18+BOR!D18+'TOTAL ULS SYSTEM'!D18+'TOTAL LSU SYSTEM'!D18+'TOTAL SU SYSTEM'!D18+'TOTAL LCTCS'!D18</f>
        <v>20318234</v>
      </c>
      <c r="E18" s="113">
        <f>LUMCON!E18+BOR!E18+'TOTAL ULS SYSTEM'!E18+'TOTAL LSU SYSTEM'!E18+'TOTAL SU SYSTEM'!E18+'TOTAL LCTCS'!E18</f>
        <v>-544177</v>
      </c>
      <c r="F18" s="60">
        <f t="shared" si="0"/>
        <v>-0.026084089705643323</v>
      </c>
      <c r="G18" s="4"/>
      <c r="J18" s="2"/>
    </row>
    <row r="19" spans="1:10" ht="34.5">
      <c r="A19" s="35" t="s">
        <v>25</v>
      </c>
      <c r="B19" s="114">
        <f>LUMCON!B19+BOR!B19+'TOTAL ULS SYSTEM'!B19+'TOTAL LSU SYSTEM'!B19+'TOTAL SU SYSTEM'!B19+'TOTAL LCTCS'!B19</f>
        <v>26176312.8</v>
      </c>
      <c r="C19" s="115">
        <f>LUMCON!C19+BOR!C19+'TOTAL ULS SYSTEM'!C19+'TOTAL LSU SYSTEM'!C19+'TOTAL SU SYSTEM'!C19+'TOTAL LCTCS'!C19</f>
        <v>28399316</v>
      </c>
      <c r="D19" s="115">
        <f>LUMCON!D19+BOR!D19+'TOTAL ULS SYSTEM'!D19+'TOTAL LSU SYSTEM'!D19+'TOTAL SU SYSTEM'!D19+'TOTAL LCTCS'!D19</f>
        <v>28570148</v>
      </c>
      <c r="E19" s="116">
        <f>LUMCON!E19+BOR!E19+'TOTAL ULS SYSTEM'!E19+'TOTAL LSU SYSTEM'!E19+'TOTAL SU SYSTEM'!E19+'TOTAL LCTCS'!E19</f>
        <v>171541</v>
      </c>
      <c r="F19" s="63">
        <f t="shared" si="0"/>
        <v>0.006040321534504563</v>
      </c>
      <c r="G19" s="4"/>
      <c r="J19" s="2"/>
    </row>
    <row r="20" spans="1:10" ht="35.25">
      <c r="A20" s="36" t="s">
        <v>26</v>
      </c>
      <c r="B20" s="117">
        <f>LUMCON!B20+BOR!B20+'TOTAL ULS SYSTEM'!B20+'TOTAL LSU SYSTEM'!B20+'TOTAL SU SYSTEM'!B20+'TOTAL LCTCS'!B20</f>
        <v>580127945.9599999</v>
      </c>
      <c r="C20" s="118">
        <f>LUMCON!C20+BOR!C20+'TOTAL ULS SYSTEM'!C20+'TOTAL LSU SYSTEM'!C20+'TOTAL SU SYSTEM'!C20+'TOTAL LCTCS'!C20</f>
        <v>608373610</v>
      </c>
      <c r="D20" s="118">
        <f>LUMCON!D20+BOR!D20+'TOTAL ULS SYSTEM'!D20+'TOTAL LSU SYSTEM'!D20+'TOTAL SU SYSTEM'!D20+'TOTAL LCTCS'!D20</f>
        <v>626348760</v>
      </c>
      <c r="E20" s="118">
        <f>LUMCON!E20+BOR!E20+'TOTAL ULS SYSTEM'!E20+'TOTAL LSU SYSTEM'!E20+'TOTAL SU SYSTEM'!E20+'TOTAL LCTCS'!E20</f>
        <v>17975150</v>
      </c>
      <c r="F20" s="26">
        <f t="shared" si="0"/>
        <v>0.029546235577180936</v>
      </c>
      <c r="G20" s="4"/>
      <c r="J20" s="2"/>
    </row>
    <row r="21" spans="1:10" ht="34.5">
      <c r="A21" s="43" t="s">
        <v>27</v>
      </c>
      <c r="B21" s="119">
        <f>LUMCON!B21+BOR!B21+'TOTAL ULS SYSTEM'!B21+'TOTAL LSU SYSTEM'!B21+'TOTAL SU SYSTEM'!B21+'TOTAL LCTCS'!B21</f>
        <v>44590215</v>
      </c>
      <c r="C21" s="119">
        <f>LUMCON!C21+BOR!C21+'TOTAL ULS SYSTEM'!C21+'TOTAL LSU SYSTEM'!C21+'TOTAL SU SYSTEM'!C21+'TOTAL LCTCS'!C21</f>
        <v>45439215</v>
      </c>
      <c r="D21" s="119">
        <f>LUMCON!D21+BOR!D21+'TOTAL ULS SYSTEM'!D21+'TOTAL LSU SYSTEM'!D21+'TOTAL SU SYSTEM'!D21+'TOTAL LCTCS'!D21</f>
        <v>51065580</v>
      </c>
      <c r="E21" s="119">
        <f>LUMCON!E21+BOR!E21+'TOTAL ULS SYSTEM'!E21+'TOTAL LSU SYSTEM'!E21+'TOTAL SU SYSTEM'!E21+'TOTAL LCTCS'!E21</f>
        <v>5626365</v>
      </c>
      <c r="F21" s="25">
        <f t="shared" si="0"/>
        <v>0.12382179137557724</v>
      </c>
      <c r="G21" s="4"/>
      <c r="J21" s="2"/>
    </row>
    <row r="22" spans="1:10" ht="34.5">
      <c r="A22" s="42" t="s">
        <v>28</v>
      </c>
      <c r="B22" s="119">
        <f>LUMCON!B22+BOR!B22+'TOTAL ULS SYSTEM'!B22+'TOTAL LSU SYSTEM'!B22+'TOTAL SU SYSTEM'!B22+'TOTAL LCTCS'!B22</f>
        <v>20039542.87</v>
      </c>
      <c r="C22" s="119">
        <f>LUMCON!C22+BOR!C22+'TOTAL ULS SYSTEM'!C22+'TOTAL LSU SYSTEM'!C22+'TOTAL SU SYSTEM'!C22+'TOTAL LCTCS'!C22</f>
        <v>19338569</v>
      </c>
      <c r="D22" s="119">
        <f>LUMCON!D22+BOR!D22+'TOTAL ULS SYSTEM'!D22+'TOTAL LSU SYSTEM'!D22+'TOTAL SU SYSTEM'!D22+'TOTAL LCTCS'!D22</f>
        <v>21318003</v>
      </c>
      <c r="E22" s="119">
        <f>LUMCON!E22+BOR!E22+'TOTAL ULS SYSTEM'!E22+'TOTAL LSU SYSTEM'!E22+'TOTAL SU SYSTEM'!E22+'TOTAL LCTCS'!E22</f>
        <v>1979434</v>
      </c>
      <c r="F22" s="25">
        <f t="shared" si="0"/>
        <v>0.10235679796162787</v>
      </c>
      <c r="G22" s="4"/>
      <c r="J22" s="2"/>
    </row>
    <row r="23" spans="1:10" ht="34.5">
      <c r="A23" s="44" t="s">
        <v>29</v>
      </c>
      <c r="B23" s="119">
        <f>LUMCON!B23+BOR!B23+'TOTAL ULS SYSTEM'!B23+'TOTAL LSU SYSTEM'!B23+'TOTAL SU SYSTEM'!B23+'TOTAL LCTCS'!B23</f>
        <v>1593134</v>
      </c>
      <c r="C23" s="119">
        <f>LUMCON!C23+BOR!C23+'TOTAL ULS SYSTEM'!C23+'TOTAL LSU SYSTEM'!C23+'TOTAL SU SYSTEM'!C23+'TOTAL LCTCS'!C23</f>
        <v>2569215</v>
      </c>
      <c r="D23" s="119">
        <f>LUMCON!D23+BOR!D23+'TOTAL ULS SYSTEM'!D23+'TOTAL LSU SYSTEM'!D23+'TOTAL SU SYSTEM'!D23+'TOTAL LCTCS'!D23</f>
        <v>1390000</v>
      </c>
      <c r="E23" s="119">
        <f>LUMCON!E23+BOR!E23+'TOTAL ULS SYSTEM'!E23+'TOTAL LSU SYSTEM'!E23+'TOTAL SU SYSTEM'!E23+'TOTAL LCTCS'!E23</f>
        <v>-1179215</v>
      </c>
      <c r="F23" s="25">
        <f t="shared" si="0"/>
        <v>-0.45897871528852197</v>
      </c>
      <c r="G23" s="4"/>
      <c r="J23" s="2"/>
    </row>
    <row r="24" spans="1:10" ht="34.5">
      <c r="A24" s="38" t="s">
        <v>30</v>
      </c>
      <c r="B24" s="119">
        <f>LUMCON!B24+BOR!B24+'TOTAL ULS SYSTEM'!B24+'TOTAL LSU SYSTEM'!B24+'TOTAL SU SYSTEM'!B24+'TOTAL LCTCS'!B24</f>
        <v>539560</v>
      </c>
      <c r="C24" s="119">
        <f>LUMCON!C24+BOR!C24+'TOTAL ULS SYSTEM'!C24+'TOTAL LSU SYSTEM'!C24+'TOTAL SU SYSTEM'!C24+'TOTAL LCTCS'!C24</f>
        <v>387000</v>
      </c>
      <c r="D24" s="119">
        <f>LUMCON!D24+BOR!D24+'TOTAL ULS SYSTEM'!D24+'TOTAL LSU SYSTEM'!D24+'TOTAL SU SYSTEM'!D24+'TOTAL LCTCS'!D24</f>
        <v>464000</v>
      </c>
      <c r="E24" s="119">
        <f>LUMCON!E24+BOR!E24+'TOTAL ULS SYSTEM'!E24+'TOTAL LSU SYSTEM'!E24+'TOTAL SU SYSTEM'!E24+'TOTAL LCTCS'!E24</f>
        <v>77000</v>
      </c>
      <c r="F24" s="25">
        <f t="shared" si="0"/>
        <v>0.19896640826873385</v>
      </c>
      <c r="G24" s="3"/>
      <c r="J24" s="2"/>
    </row>
    <row r="25" spans="1:10" ht="34.5">
      <c r="A25" s="42" t="s">
        <v>31</v>
      </c>
      <c r="B25" s="119">
        <f>LUMCON!B25+BOR!B25+'TOTAL ULS SYSTEM'!B25+'TOTAL LSU SYSTEM'!B25+'TOTAL SU SYSTEM'!B25+'TOTAL LCTCS'!B25</f>
        <v>0</v>
      </c>
      <c r="C25" s="119">
        <f>LUMCON!C25+BOR!C25+'TOTAL ULS SYSTEM'!C25+'TOTAL LSU SYSTEM'!C25+'TOTAL SU SYSTEM'!C25+'TOTAL LCTCS'!C25</f>
        <v>0</v>
      </c>
      <c r="D25" s="119">
        <f>LUMCON!D25+BOR!D25+'TOTAL ULS SYSTEM'!D25+'TOTAL LSU SYSTEM'!D25+'TOTAL SU SYSTEM'!D25+'TOTAL LCTCS'!D25</f>
        <v>0</v>
      </c>
      <c r="E25" s="119">
        <f>LUMCON!E25+BOR!E25+'TOTAL ULS SYSTEM'!E25+'TOTAL LSU SYSTEM'!E25+'TOTAL SU SYSTEM'!E25+'TOTAL LCTCS'!E25</f>
        <v>0</v>
      </c>
      <c r="F25" s="25" t="e">
        <f t="shared" si="0"/>
        <v>#DIV/0!</v>
      </c>
      <c r="G25" s="3"/>
      <c r="J25" s="2"/>
    </row>
    <row r="26" spans="1:10" ht="34.5">
      <c r="A26" s="44" t="s">
        <v>32</v>
      </c>
      <c r="B26" s="119">
        <f>LUMCON!B26+BOR!B26+'TOTAL ULS SYSTEM'!B26+'TOTAL LSU SYSTEM'!B26+'TOTAL SU SYSTEM'!B26+'TOTAL LCTCS'!B26</f>
        <v>55551379.57</v>
      </c>
      <c r="C26" s="119">
        <f>LUMCON!C26+BOR!C26+'TOTAL ULS SYSTEM'!C26+'TOTAL LSU SYSTEM'!C26+'TOTAL SU SYSTEM'!C26+'TOTAL LCTCS'!C26</f>
        <v>70544484</v>
      </c>
      <c r="D26" s="119">
        <f>LUMCON!D26+BOR!D26+'TOTAL ULS SYSTEM'!D26+'TOTAL LSU SYSTEM'!D26+'TOTAL SU SYSTEM'!D26+'TOTAL LCTCS'!D26</f>
        <v>71092843</v>
      </c>
      <c r="E26" s="119">
        <f>LUMCON!E26+BOR!E26+'TOTAL ULS SYSTEM'!E26+'TOTAL LSU SYSTEM'!E26+'TOTAL SU SYSTEM'!E26+'TOTAL LCTCS'!E26</f>
        <v>548359</v>
      </c>
      <c r="F26" s="25">
        <f t="shared" si="0"/>
        <v>0.007773237096751605</v>
      </c>
      <c r="G26" s="3"/>
      <c r="J26" s="2"/>
    </row>
    <row r="27" spans="1:10" ht="35.25">
      <c r="A27" s="45" t="s">
        <v>33</v>
      </c>
      <c r="B27" s="30">
        <f>LUMCON!B27+BOR!B27+'TOTAL ULS SYSTEM'!B27+'TOTAL LSU SYSTEM'!B27+'TOTAL SU SYSTEM'!B27+'TOTAL LCTCS'!B27-2</f>
        <v>702441774.4</v>
      </c>
      <c r="C27" s="30">
        <f>LUMCON!C27+BOR!C27+'TOTAL ULS SYSTEM'!C27+'TOTAL LSU SYSTEM'!C27+'TOTAL SU SYSTEM'!C27+'TOTAL LCTCS'!C27</f>
        <v>746652092</v>
      </c>
      <c r="D27" s="30">
        <f>LUMCON!D27+BOR!D27+'TOTAL ULS SYSTEM'!D27+'TOTAL LSU SYSTEM'!D27+'TOTAL SU SYSTEM'!D27+'TOTAL LCTCS'!D27-1</f>
        <v>771679184</v>
      </c>
      <c r="E27" s="30">
        <f>LUMCON!E27+BOR!E27+'TOTAL ULS SYSTEM'!E27+'TOTAL LSU SYSTEM'!E27+'TOTAL SU SYSTEM'!E27+'TOTAL LCTCS'!E27</f>
        <v>25027093</v>
      </c>
      <c r="F27" s="25">
        <f t="shared" si="0"/>
        <v>0.03351908240551745</v>
      </c>
      <c r="G27" s="3"/>
      <c r="J27" s="2"/>
    </row>
    <row r="28" spans="1:10" ht="35.25">
      <c r="A28" s="41" t="s">
        <v>34</v>
      </c>
      <c r="B28" s="59"/>
      <c r="C28" s="32"/>
      <c r="D28" s="32"/>
      <c r="E28" s="32"/>
      <c r="F28" s="27"/>
      <c r="G28" s="3"/>
      <c r="J28" s="2"/>
    </row>
    <row r="29" spans="1:10" ht="34.5">
      <c r="A29" s="46" t="s">
        <v>35</v>
      </c>
      <c r="B29" s="30">
        <f>LUMCON!B29+BOR!B29+'TOTAL ULS SYSTEM'!B29+'TOTAL LSU SYSTEM'!B29+'TOTAL SU SYSTEM'!B29+'TOTAL LCTCS'!B29+'TOTAL LCTCS'!B29</f>
        <v>50893814</v>
      </c>
      <c r="C29" s="30">
        <f>LUMCON!C29+BOR!C29+'TOTAL ULS SYSTEM'!C29+'TOTAL LSU SYSTEM'!C29+'TOTAL SU SYSTEM'!C29+'TOTAL LCTCS'!C29</f>
        <v>32968119</v>
      </c>
      <c r="D29" s="30">
        <f>LUMCON!D29+BOR!D29+'TOTAL ULS SYSTEM'!D29+'TOTAL LSU SYSTEM'!D29+'TOTAL SU SYSTEM'!D29+'TOTAL LCTCS'!D29</f>
        <v>4036211</v>
      </c>
      <c r="E29" s="30">
        <f>LUMCON!E29+BOR!E29+'TOTAL ULS SYSTEM'!E29+'TOTAL LSU SYSTEM'!E29+'TOTAL SU SYSTEM'!E29+'TOTAL LCTCS'!E29</f>
        <v>-28931908</v>
      </c>
      <c r="F29" s="25">
        <f t="shared" si="0"/>
        <v>-0.8775722994690719</v>
      </c>
      <c r="G29" s="3"/>
      <c r="J29" s="2"/>
    </row>
    <row r="30" spans="1:10" ht="34.5">
      <c r="A30" s="37" t="s">
        <v>36</v>
      </c>
      <c r="B30" s="30">
        <f>LUMCON!B30+BOR!B30+'TOTAL ULS SYSTEM'!B30+'TOTAL LSU SYSTEM'!B30+'TOTAL SU SYSTEM'!B30+'TOTAL LCTCS'!B30</f>
        <v>58355959</v>
      </c>
      <c r="C30" s="30">
        <f>LUMCON!C30+BOR!C30+'TOTAL ULS SYSTEM'!C30+'TOTAL LSU SYSTEM'!C30+'TOTAL SU SYSTEM'!C30+'TOTAL LCTCS'!C30</f>
        <v>61393970</v>
      </c>
      <c r="D30" s="30">
        <f>LUMCON!D30+BOR!D30+'TOTAL ULS SYSTEM'!D30+'TOTAL LSU SYSTEM'!D30+'TOTAL SU SYSTEM'!D30+'TOTAL LCTCS'!D30</f>
        <v>60939879</v>
      </c>
      <c r="E30" s="30">
        <f>LUMCON!E30+BOR!E30+'TOTAL ULS SYSTEM'!E30+'TOTAL LSU SYSTEM'!E30+'TOTAL SU SYSTEM'!E30+'TOTAL LCTCS'!E30</f>
        <v>-454091</v>
      </c>
      <c r="F30" s="25">
        <f t="shared" si="0"/>
        <v>-0.007396345276254329</v>
      </c>
      <c r="G30" s="3"/>
      <c r="J30" s="2"/>
    </row>
    <row r="31" spans="1:10" ht="35.25">
      <c r="A31" s="47" t="s">
        <v>37</v>
      </c>
      <c r="B31" s="57"/>
      <c r="C31" s="18"/>
      <c r="D31" s="18"/>
      <c r="E31" s="18"/>
      <c r="F31" s="26"/>
      <c r="G31" s="3"/>
      <c r="J31" s="2"/>
    </row>
    <row r="32" spans="1:10" ht="34.5">
      <c r="A32" s="42" t="s">
        <v>38</v>
      </c>
      <c r="B32" s="30">
        <f>LUMCON!B32+BOR!B32+'TOTAL ULS SYSTEM'!B32+'TOTAL LSU SYSTEM'!B32+'TOTAL SU SYSTEM'!B32+'TOTAL LCTCS'!B32</f>
        <v>17246829.9</v>
      </c>
      <c r="C32" s="30">
        <f>LUMCON!C32+BOR!C32+'TOTAL ULS SYSTEM'!C32+'TOTAL LSU SYSTEM'!C32+'TOTAL SU SYSTEM'!C32+'TOTAL LCTCS'!C32</f>
        <v>17246830</v>
      </c>
      <c r="D32" s="30">
        <f>LUMCON!D32+BOR!D32+'TOTAL ULS SYSTEM'!D32+'TOTAL LSU SYSTEM'!D32+'TOTAL SU SYSTEM'!D32+'TOTAL LCTCS'!D325</f>
        <v>0</v>
      </c>
      <c r="E32" s="30">
        <f>LUMCON!E32+BOR!E32+'TOTAL ULS SYSTEM'!E32+'TOTAL LSU SYSTEM'!E32+'TOTAL SU SYSTEM'!E32+'TOTAL LCTCS'!E32</f>
        <v>-17246830</v>
      </c>
      <c r="F32" s="61"/>
      <c r="G32" s="3"/>
      <c r="J32" s="2"/>
    </row>
    <row r="33" spans="1:10" ht="34.5">
      <c r="A33" s="37" t="s">
        <v>39</v>
      </c>
      <c r="B33" s="30">
        <f>LUMCON!B33+BOR!B33+'TOTAL ULS SYSTEM'!B33+'TOTAL LSU SYSTEM'!B33+'TOTAL SU SYSTEM'!B33+'TOTAL LCTCS'!B33</f>
        <v>40996605</v>
      </c>
      <c r="C33" s="30">
        <f>LUMCON!C33+BOR!C33+'TOTAL ULS SYSTEM'!C33+'TOTAL LSU SYSTEM'!C33+'TOTAL SU SYSTEM'!C33+'TOTAL LCTCS'!C33</f>
        <v>40219156</v>
      </c>
      <c r="D33" s="30">
        <f>LUMCON!D33+BOR!D33+'TOTAL ULS SYSTEM'!D33+'TOTAL LSU SYSTEM'!D33+'TOTAL SU SYSTEM'!D33+'TOTAL LCTCS'!D33</f>
        <v>28116815</v>
      </c>
      <c r="E33" s="30">
        <f>LUMCON!E33+BOR!E33+'TOTAL ULS SYSTEM'!E33+'TOTAL LSU SYSTEM'!E33+'TOTAL SU SYSTEM'!E33+'TOTAL LCTCS'!E33</f>
        <v>-12102341</v>
      </c>
      <c r="F33" s="25">
        <f>E33/C33</f>
        <v>-0.30090986991372964</v>
      </c>
      <c r="G33" s="3"/>
      <c r="J33" s="2"/>
    </row>
    <row r="34" spans="1:10" ht="35.25">
      <c r="A34" s="36" t="s">
        <v>40</v>
      </c>
      <c r="B34" s="30">
        <f>LUMCON!B34+BOR!B34+'TOTAL ULS SYSTEM'!B34+'TOTAL LSU SYSTEM'!B34+'TOTAL SU SYSTEM'!B34+'TOTAL LCTCS'!B34</f>
        <v>143870181.9</v>
      </c>
      <c r="C34" s="30">
        <f>LUMCON!C34+BOR!C34+'TOTAL ULS SYSTEM'!C34+'TOTAL LSU SYSTEM'!C34+'TOTAL SU SYSTEM'!C34+'TOTAL LCTCS'!C34</f>
        <v>151828075</v>
      </c>
      <c r="D34" s="30">
        <f>LUMCON!D34+BOR!D34+'TOTAL ULS SYSTEM'!D34+'TOTAL LSU SYSTEM'!D34+'TOTAL SU SYSTEM'!D34+'TOTAL LCTCS'!D34</f>
        <v>93092905</v>
      </c>
      <c r="E34" s="30">
        <f>LUMCON!E34+BOR!E34+'TOTAL ULS SYSTEM'!E34+'TOTAL LSU SYSTEM'!E34+'TOTAL SU SYSTEM'!E34+'TOTAL LCTCS'!E34</f>
        <v>-58735170</v>
      </c>
      <c r="F34" s="62"/>
      <c r="G34" s="3"/>
      <c r="J34" s="2"/>
    </row>
    <row r="35" spans="1:10" ht="35.25">
      <c r="A35" s="36" t="s">
        <v>205</v>
      </c>
      <c r="B35" s="789">
        <f>'TOTAL LSU SYSTEM'!B35</f>
        <v>64950</v>
      </c>
      <c r="C35" s="789">
        <f>'TOTAL LSU SYSTEM'!C35</f>
        <v>269739</v>
      </c>
      <c r="D35" s="789">
        <f>'TOTAL LSU SYSTEM'!D35</f>
        <v>0</v>
      </c>
      <c r="E35" s="30"/>
      <c r="F35" s="27"/>
      <c r="G35" s="3"/>
      <c r="J35" s="2"/>
    </row>
    <row r="36" spans="1:10" ht="40.5" customHeight="1" thickBot="1">
      <c r="A36" s="48" t="s">
        <v>41</v>
      </c>
      <c r="B36" s="30">
        <f>LUMCON!B35+BOR!B35+'TOTAL ULS SYSTEM'!B35+'TOTAL LSU SYSTEM'!B36+'TOTAL SU SYSTEM'!B35+'TOTAL LCTCS'!B35</f>
        <v>1227579183.3</v>
      </c>
      <c r="C36" s="30">
        <f>LUMCON!C35+BOR!C35+'TOTAL ULS SYSTEM'!C35+'TOTAL LSU SYSTEM'!C36+'TOTAL SU SYSTEM'!C35+'TOTAL LCTCS'!C35</f>
        <v>1321038442</v>
      </c>
      <c r="D36" s="30">
        <f>LUMCON!D35+BOR!D35+'TOTAL ULS SYSTEM'!D35+'TOTAL LSU SYSTEM'!D36+'TOTAL SU SYSTEM'!D35+'TOTAL LCTCS'!D35</f>
        <v>1289449298</v>
      </c>
      <c r="E36" s="30">
        <f>LUMCON!E35+BOR!E35+'TOTAL ULS SYSTEM'!E35+'TOTAL LSU SYSTEM'!E36+'TOTAL SU SYSTEM'!E35+'TOTAL LCTCS'!E35</f>
        <v>-31589144</v>
      </c>
      <c r="F36" s="25">
        <f>E36/C36</f>
        <v>-0.02391235788125536</v>
      </c>
      <c r="G36" s="3"/>
      <c r="J36" s="2"/>
    </row>
    <row r="37" spans="1:10" ht="39.75" customHeight="1" thickTop="1">
      <c r="A37" s="2"/>
      <c r="B37" s="109" t="s">
        <v>0</v>
      </c>
      <c r="C37" s="109" t="s">
        <v>0</v>
      </c>
      <c r="D37" s="109" t="s">
        <v>0</v>
      </c>
      <c r="E37" s="109" t="s">
        <v>0</v>
      </c>
      <c r="F37" s="28"/>
      <c r="G37" s="2"/>
      <c r="H37" s="2"/>
      <c r="I37" s="2"/>
      <c r="J37" s="2"/>
    </row>
    <row r="38" spans="1:9" ht="45">
      <c r="A38" s="49" t="s">
        <v>42</v>
      </c>
      <c r="B38" s="50"/>
      <c r="C38" s="50"/>
      <c r="D38" s="50"/>
      <c r="E38" s="50"/>
      <c r="F38" s="2"/>
      <c r="G38" s="2"/>
      <c r="H38" s="2"/>
      <c r="I38" s="2"/>
    </row>
    <row r="39" spans="1:9" ht="44.25">
      <c r="A39" s="51"/>
      <c r="B39" s="11"/>
      <c r="C39" s="11"/>
      <c r="D39" s="11"/>
      <c r="E39" s="11"/>
      <c r="F39" s="2"/>
      <c r="G39" s="2"/>
      <c r="H39" s="2"/>
      <c r="I39" s="2"/>
    </row>
    <row r="40" spans="1:9" ht="44.25">
      <c r="A40" s="53" t="s">
        <v>43</v>
      </c>
      <c r="B40" s="11"/>
      <c r="C40" s="11"/>
      <c r="D40" s="11"/>
      <c r="E40" s="11"/>
      <c r="F40" s="2"/>
      <c r="G40" s="2"/>
      <c r="H40" s="2"/>
      <c r="I40" s="2"/>
    </row>
    <row r="41" spans="1:10" ht="15">
      <c r="A41" s="2"/>
      <c r="B41" s="2"/>
      <c r="C41" s="2"/>
      <c r="D41" s="2"/>
      <c r="E41" s="2"/>
      <c r="F41" s="28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8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8"/>
      <c r="G43" s="2"/>
      <c r="H43" s="2"/>
      <c r="I43" s="2"/>
      <c r="J43" s="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2" width="36.5546875" style="75" customWidth="1"/>
    <col min="3" max="4" width="30.77734375" style="75" customWidth="1"/>
    <col min="5" max="5" width="30.77734375" style="755" customWidth="1"/>
    <col min="6" max="6" width="35.6640625" style="755" customWidth="1"/>
    <col min="7" max="7" width="16.77734375" style="75" customWidth="1"/>
    <col min="8" max="16384" width="9.6640625" style="75" customWidth="1"/>
  </cols>
  <sheetData>
    <row r="1" spans="1:6" s="52" customFormat="1" ht="45">
      <c r="A1" s="9" t="s">
        <v>2</v>
      </c>
      <c r="B1" s="12" t="s">
        <v>3</v>
      </c>
      <c r="C1" s="455" t="s">
        <v>181</v>
      </c>
      <c r="D1" s="70"/>
      <c r="E1" s="752"/>
      <c r="F1" s="752"/>
    </row>
    <row r="2" spans="1:7" s="52" customFormat="1" ht="45">
      <c r="A2" s="9" t="s">
        <v>9</v>
      </c>
      <c r="B2" s="9"/>
      <c r="C2" s="11"/>
      <c r="D2" s="11"/>
      <c r="E2" s="752"/>
      <c r="F2" s="752"/>
      <c r="G2" s="11"/>
    </row>
    <row r="3" spans="1:7" s="52" customFormat="1" ht="45.75" thickBot="1">
      <c r="A3" s="10" t="s">
        <v>10</v>
      </c>
      <c r="B3" s="12"/>
      <c r="C3" s="123"/>
      <c r="D3" s="123"/>
      <c r="E3" s="753"/>
      <c r="F3" s="753"/>
      <c r="G3" s="123"/>
    </row>
    <row r="4" spans="1:7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768" t="s">
        <v>46</v>
      </c>
      <c r="F4" s="754"/>
      <c r="G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69" t="s">
        <v>70</v>
      </c>
    </row>
    <row r="6" spans="1:6" ht="35.25">
      <c r="A6" s="127" t="s">
        <v>12</v>
      </c>
      <c r="B6" s="183"/>
      <c r="C6" s="183"/>
      <c r="D6" s="183"/>
      <c r="E6" s="770"/>
      <c r="F6" s="754"/>
    </row>
    <row r="7" spans="1:6" ht="34.5">
      <c r="A7" s="129" t="s">
        <v>13</v>
      </c>
      <c r="B7" s="184">
        <v>0</v>
      </c>
      <c r="C7" s="184">
        <v>0</v>
      </c>
      <c r="D7" s="184">
        <v>0</v>
      </c>
      <c r="E7" s="771">
        <v>0</v>
      </c>
      <c r="F7" s="754"/>
    </row>
    <row r="8" spans="1:6" ht="34.5">
      <c r="A8" s="132" t="s">
        <v>14</v>
      </c>
      <c r="B8" s="185">
        <v>0</v>
      </c>
      <c r="C8" s="185">
        <v>0</v>
      </c>
      <c r="D8" s="185">
        <v>0</v>
      </c>
      <c r="E8" s="772">
        <v>0</v>
      </c>
      <c r="F8" s="754"/>
    </row>
    <row r="9" spans="1:6" ht="34.5">
      <c r="A9" s="133" t="s">
        <v>15</v>
      </c>
      <c r="B9" s="185">
        <v>0</v>
      </c>
      <c r="C9" s="185">
        <v>0</v>
      </c>
      <c r="D9" s="185">
        <v>0</v>
      </c>
      <c r="E9" s="772">
        <v>0</v>
      </c>
      <c r="F9" s="754"/>
    </row>
    <row r="10" spans="1:6" ht="34.5">
      <c r="A10" s="134" t="s">
        <v>16</v>
      </c>
      <c r="B10" s="185">
        <v>0</v>
      </c>
      <c r="C10" s="185">
        <v>0</v>
      </c>
      <c r="D10" s="185">
        <v>0</v>
      </c>
      <c r="E10" s="772">
        <v>0</v>
      </c>
      <c r="F10" s="754"/>
    </row>
    <row r="11" spans="1:6" ht="34.5">
      <c r="A11" s="134" t="s">
        <v>17</v>
      </c>
      <c r="B11" s="185">
        <v>0</v>
      </c>
      <c r="C11" s="185">
        <v>0</v>
      </c>
      <c r="D11" s="185">
        <v>0</v>
      </c>
      <c r="E11" s="772">
        <v>0</v>
      </c>
      <c r="F11" s="754"/>
    </row>
    <row r="12" spans="1:6" s="179" customFormat="1" ht="35.25">
      <c r="A12" s="135" t="s">
        <v>18</v>
      </c>
      <c r="B12" s="186">
        <v>0</v>
      </c>
      <c r="C12" s="186">
        <v>0</v>
      </c>
      <c r="D12" s="186">
        <v>0</v>
      </c>
      <c r="E12" s="773">
        <v>0</v>
      </c>
      <c r="F12" s="756"/>
    </row>
    <row r="13" spans="1:6" ht="35.25">
      <c r="A13" s="127" t="s">
        <v>19</v>
      </c>
      <c r="B13" s="185"/>
      <c r="C13" s="185"/>
      <c r="D13" s="185"/>
      <c r="E13" s="772"/>
      <c r="F13" s="757"/>
    </row>
    <row r="14" spans="1:6" ht="35.25">
      <c r="A14" s="128" t="s">
        <v>20</v>
      </c>
      <c r="B14" s="184"/>
      <c r="C14" s="184"/>
      <c r="D14" s="184"/>
      <c r="E14" s="771"/>
      <c r="F14" s="757"/>
    </row>
    <row r="15" spans="1:6" ht="34.5">
      <c r="A15" s="129" t="s">
        <v>21</v>
      </c>
      <c r="B15" s="184">
        <v>14156030</v>
      </c>
      <c r="C15" s="184">
        <v>15120274</v>
      </c>
      <c r="D15" s="184">
        <v>16160975</v>
      </c>
      <c r="E15" s="771">
        <v>1040701</v>
      </c>
      <c r="F15" s="757"/>
    </row>
    <row r="16" spans="1:6" ht="34.5">
      <c r="A16" s="129" t="s">
        <v>22</v>
      </c>
      <c r="B16" s="184">
        <v>848617</v>
      </c>
      <c r="C16" s="184">
        <v>900000</v>
      </c>
      <c r="D16" s="184">
        <v>899426</v>
      </c>
      <c r="E16" s="771">
        <v>-574</v>
      </c>
      <c r="F16" s="757"/>
    </row>
    <row r="17" spans="1:6" ht="34.5">
      <c r="A17" s="130" t="s">
        <v>23</v>
      </c>
      <c r="B17" s="184">
        <v>1526660</v>
      </c>
      <c r="C17" s="184">
        <v>1628720</v>
      </c>
      <c r="D17" s="184">
        <v>1618900</v>
      </c>
      <c r="E17" s="771">
        <v>-9820</v>
      </c>
      <c r="F17" s="757"/>
    </row>
    <row r="18" spans="1:6" ht="34.5">
      <c r="A18" s="130" t="s">
        <v>24</v>
      </c>
      <c r="B18" s="184">
        <v>766550</v>
      </c>
      <c r="C18" s="184">
        <v>815860</v>
      </c>
      <c r="D18" s="184">
        <v>812640</v>
      </c>
      <c r="E18" s="771">
        <v>-3220</v>
      </c>
      <c r="F18" s="757"/>
    </row>
    <row r="19" spans="1:6" ht="34.5">
      <c r="A19" s="129" t="s">
        <v>25</v>
      </c>
      <c r="B19" s="184">
        <v>591609</v>
      </c>
      <c r="C19" s="184">
        <v>656050</v>
      </c>
      <c r="D19" s="184">
        <v>617760</v>
      </c>
      <c r="E19" s="771">
        <v>-38290</v>
      </c>
      <c r="F19" s="757"/>
    </row>
    <row r="20" spans="1:6" s="179" customFormat="1" ht="35.25">
      <c r="A20" s="144" t="s">
        <v>26</v>
      </c>
      <c r="B20" s="186">
        <v>17889466</v>
      </c>
      <c r="C20" s="186">
        <v>19120904</v>
      </c>
      <c r="D20" s="186">
        <v>20109701</v>
      </c>
      <c r="E20" s="773">
        <v>988797</v>
      </c>
      <c r="F20" s="758"/>
    </row>
    <row r="21" spans="1:6" ht="34.5">
      <c r="A21" s="149" t="s">
        <v>27</v>
      </c>
      <c r="B21" s="184">
        <v>0</v>
      </c>
      <c r="C21" s="184">
        <v>0</v>
      </c>
      <c r="D21" s="184">
        <v>0</v>
      </c>
      <c r="E21" s="771">
        <v>0</v>
      </c>
      <c r="F21" s="757"/>
    </row>
    <row r="22" spans="1:6" ht="34.5">
      <c r="A22" s="148" t="s">
        <v>28</v>
      </c>
      <c r="B22" s="185">
        <v>736668</v>
      </c>
      <c r="C22" s="185">
        <v>749160</v>
      </c>
      <c r="D22" s="185">
        <v>728602</v>
      </c>
      <c r="E22" s="772">
        <v>-20558</v>
      </c>
      <c r="F22" s="757"/>
    </row>
    <row r="23" spans="1:6" ht="34.5">
      <c r="A23" s="150" t="s">
        <v>29</v>
      </c>
      <c r="B23" s="185">
        <v>306966</v>
      </c>
      <c r="C23" s="185">
        <v>254215</v>
      </c>
      <c r="D23" s="185">
        <v>255000</v>
      </c>
      <c r="E23" s="772">
        <v>-180101</v>
      </c>
      <c r="F23" s="757"/>
    </row>
    <row r="24" spans="1:6" ht="34.5">
      <c r="A24" s="146" t="s">
        <v>30</v>
      </c>
      <c r="B24" s="185">
        <v>0</v>
      </c>
      <c r="C24" s="185">
        <v>0</v>
      </c>
      <c r="D24" s="185">
        <v>0</v>
      </c>
      <c r="E24" s="772">
        <v>0</v>
      </c>
      <c r="F24" s="757"/>
    </row>
    <row r="25" spans="1:6" ht="34.5">
      <c r="A25" s="148" t="s">
        <v>31</v>
      </c>
      <c r="B25" s="185">
        <v>0</v>
      </c>
      <c r="C25" s="185">
        <v>0</v>
      </c>
      <c r="D25" s="185">
        <v>0</v>
      </c>
      <c r="E25" s="772">
        <v>0</v>
      </c>
      <c r="F25" s="757"/>
    </row>
    <row r="26" spans="1:6" ht="34.5">
      <c r="A26" s="150" t="s">
        <v>116</v>
      </c>
      <c r="B26" s="185">
        <v>1904480</v>
      </c>
      <c r="C26" s="185">
        <v>3934462</v>
      </c>
      <c r="D26" s="185">
        <v>2788220</v>
      </c>
      <c r="E26" s="772">
        <v>-1146242</v>
      </c>
      <c r="F26" s="757"/>
    </row>
    <row r="27" spans="1:6" s="179" customFormat="1" ht="35.25">
      <c r="A27" s="151" t="s">
        <v>33</v>
      </c>
      <c r="B27" s="187">
        <v>20837580</v>
      </c>
      <c r="C27" s="188">
        <v>24058741</v>
      </c>
      <c r="D27" s="188">
        <v>23881523</v>
      </c>
      <c r="E27" s="766">
        <v>-177218</v>
      </c>
      <c r="F27" s="758"/>
    </row>
    <row r="28" spans="1:6" ht="35.25">
      <c r="A28" s="147" t="s">
        <v>34</v>
      </c>
      <c r="B28" s="184"/>
      <c r="C28" s="184"/>
      <c r="D28" s="184"/>
      <c r="E28" s="771"/>
      <c r="F28" s="757"/>
    </row>
    <row r="29" spans="1:6" ht="34.5">
      <c r="A29" s="152" t="s">
        <v>82</v>
      </c>
      <c r="B29" s="184">
        <v>0</v>
      </c>
      <c r="C29" s="189">
        <v>0</v>
      </c>
      <c r="D29" s="189">
        <v>0</v>
      </c>
      <c r="E29" s="771">
        <v>0</v>
      </c>
      <c r="F29" s="754"/>
    </row>
    <row r="30" spans="1:6" ht="34.5">
      <c r="A30" s="145" t="s">
        <v>36</v>
      </c>
      <c r="B30" s="190">
        <v>0</v>
      </c>
      <c r="C30" s="190">
        <v>0</v>
      </c>
      <c r="D30" s="190">
        <v>0</v>
      </c>
      <c r="E30" s="774">
        <v>0</v>
      </c>
      <c r="F30" s="754"/>
    </row>
    <row r="31" spans="1:6" ht="35.25">
      <c r="A31" s="153" t="s">
        <v>37</v>
      </c>
      <c r="B31" s="184"/>
      <c r="C31" s="189"/>
      <c r="D31" s="189"/>
      <c r="E31" s="771"/>
      <c r="F31" s="754"/>
    </row>
    <row r="32" spans="1:6" ht="34.5">
      <c r="A32" s="148" t="s">
        <v>38</v>
      </c>
      <c r="B32" s="184">
        <v>0</v>
      </c>
      <c r="C32" s="184">
        <v>0</v>
      </c>
      <c r="D32" s="184">
        <v>0</v>
      </c>
      <c r="E32" s="771">
        <v>0</v>
      </c>
      <c r="F32" s="754"/>
    </row>
    <row r="33" spans="1:6" ht="34.5">
      <c r="A33" s="145" t="s">
        <v>39</v>
      </c>
      <c r="B33" s="185">
        <v>0</v>
      </c>
      <c r="C33" s="185">
        <v>0</v>
      </c>
      <c r="D33" s="185">
        <v>0</v>
      </c>
      <c r="E33" s="772">
        <v>0</v>
      </c>
      <c r="F33" s="754"/>
    </row>
    <row r="34" spans="1:6" s="179" customFormat="1" ht="35.25">
      <c r="A34" s="144" t="s">
        <v>40</v>
      </c>
      <c r="B34" s="186">
        <v>0</v>
      </c>
      <c r="C34" s="186">
        <v>0</v>
      </c>
      <c r="D34" s="186">
        <v>0</v>
      </c>
      <c r="E34" s="773">
        <v>0</v>
      </c>
      <c r="F34" s="756"/>
    </row>
    <row r="35" spans="1:6" s="179" customFormat="1" ht="36" thickBot="1">
      <c r="A35" s="154" t="s">
        <v>41</v>
      </c>
      <c r="B35" s="191">
        <v>20837580</v>
      </c>
      <c r="C35" s="191">
        <v>24058741</v>
      </c>
      <c r="D35" s="191">
        <v>23881523</v>
      </c>
      <c r="E35" s="775">
        <v>-177218</v>
      </c>
      <c r="F35" s="756"/>
    </row>
    <row r="36" spans="1:6" ht="20.25">
      <c r="A36" s="97"/>
      <c r="B36" s="155"/>
      <c r="C36" s="155"/>
      <c r="D36" s="98"/>
      <c r="E36" s="757"/>
      <c r="F36" s="757"/>
    </row>
    <row r="37" spans="1:6" ht="45">
      <c r="A37" s="49" t="s">
        <v>42</v>
      </c>
      <c r="B37" s="174"/>
      <c r="C37" s="174"/>
      <c r="D37" s="50"/>
      <c r="E37" s="759"/>
      <c r="F37" s="759"/>
    </row>
    <row r="38" spans="1:5" ht="25.5">
      <c r="A38" s="122"/>
      <c r="B38" s="122"/>
      <c r="C38" s="122"/>
      <c r="D38" s="122"/>
      <c r="E38" s="776"/>
    </row>
    <row r="39" spans="1:5" ht="26.25" thickBot="1">
      <c r="A39" s="122"/>
      <c r="B39" s="122"/>
      <c r="C39" s="122"/>
      <c r="D39" s="122"/>
      <c r="E39" s="776"/>
    </row>
    <row r="40" spans="1:6" ht="44.25">
      <c r="A40" s="158" t="s">
        <v>43</v>
      </c>
      <c r="B40" s="168"/>
      <c r="C40" s="159"/>
      <c r="D40" s="160"/>
      <c r="E40" s="777"/>
      <c r="F40" s="760"/>
    </row>
    <row r="41" spans="1:6" ht="20.25">
      <c r="A41" s="161"/>
      <c r="B41" s="169"/>
      <c r="C41" s="156"/>
      <c r="D41" s="157"/>
      <c r="E41" s="778"/>
      <c r="F41" s="761"/>
    </row>
    <row r="42" spans="1:6" ht="34.5">
      <c r="A42" s="162" t="s">
        <v>73</v>
      </c>
      <c r="B42" s="170"/>
      <c r="C42" s="175"/>
      <c r="D42" s="175"/>
      <c r="E42" s="779"/>
      <c r="F42" s="762"/>
    </row>
    <row r="43" spans="1:6" ht="34.5">
      <c r="A43" s="162" t="s">
        <v>74</v>
      </c>
      <c r="B43" s="170"/>
      <c r="C43" s="176">
        <v>8700</v>
      </c>
      <c r="D43" s="176">
        <v>10000</v>
      </c>
      <c r="E43" s="780">
        <v>87000</v>
      </c>
      <c r="F43" s="763">
        <v>-1300</v>
      </c>
    </row>
    <row r="44" spans="1:6" ht="34.5">
      <c r="A44" s="162" t="s">
        <v>81</v>
      </c>
      <c r="B44" s="170"/>
      <c r="C44" s="176">
        <v>158470</v>
      </c>
      <c r="D44" s="176">
        <v>166120</v>
      </c>
      <c r="E44" s="780">
        <v>163180</v>
      </c>
      <c r="F44" s="763">
        <v>-2940</v>
      </c>
    </row>
    <row r="45" spans="1:6" ht="34.5">
      <c r="A45" s="162" t="s">
        <v>75</v>
      </c>
      <c r="B45" s="170"/>
      <c r="C45" s="176">
        <v>114789</v>
      </c>
      <c r="D45" s="176">
        <v>130000</v>
      </c>
      <c r="E45" s="780">
        <v>119790</v>
      </c>
      <c r="F45" s="763">
        <v>-10210</v>
      </c>
    </row>
    <row r="46" spans="1:6" ht="34.5">
      <c r="A46" s="162" t="s">
        <v>76</v>
      </c>
      <c r="B46" s="170"/>
      <c r="C46" s="176">
        <v>237705</v>
      </c>
      <c r="D46" s="176">
        <v>249180</v>
      </c>
      <c r="E46" s="780">
        <v>250395</v>
      </c>
      <c r="F46" s="763">
        <v>1215</v>
      </c>
    </row>
    <row r="47" spans="1:6" ht="34.5">
      <c r="A47" s="162" t="s">
        <v>77</v>
      </c>
      <c r="B47" s="170"/>
      <c r="C47" s="176">
        <v>71225</v>
      </c>
      <c r="D47" s="176">
        <v>100000</v>
      </c>
      <c r="E47" s="780">
        <v>74975</v>
      </c>
      <c r="F47" s="763">
        <v>-25025</v>
      </c>
    </row>
    <row r="48" spans="1:6" ht="34.5">
      <c r="A48" s="162" t="s">
        <v>78</v>
      </c>
      <c r="B48" s="170"/>
      <c r="C48" s="176">
        <v>720</v>
      </c>
      <c r="D48" s="176">
        <v>750</v>
      </c>
      <c r="E48" s="780">
        <v>720</v>
      </c>
      <c r="F48" s="763">
        <v>-30</v>
      </c>
    </row>
    <row r="49" spans="1:6" ht="34.5">
      <c r="A49" s="162" t="s">
        <v>79</v>
      </c>
      <c r="B49" s="170"/>
      <c r="C49" s="176">
        <v>0</v>
      </c>
      <c r="D49" s="176">
        <v>0</v>
      </c>
      <c r="E49" s="780">
        <v>0</v>
      </c>
      <c r="F49" s="763">
        <v>0</v>
      </c>
    </row>
    <row r="50" spans="1:6" ht="34.5">
      <c r="A50" s="162" t="s">
        <v>80</v>
      </c>
      <c r="B50" s="170"/>
      <c r="C50" s="176">
        <v>591609</v>
      </c>
      <c r="D50" s="176">
        <v>656050</v>
      </c>
      <c r="E50" s="780">
        <v>617760</v>
      </c>
      <c r="F50" s="763">
        <v>-38290</v>
      </c>
    </row>
    <row r="51" spans="1:6" ht="15">
      <c r="A51" s="163"/>
      <c r="B51" s="171"/>
      <c r="C51" s="177"/>
      <c r="D51" s="177"/>
      <c r="E51" s="781"/>
      <c r="F51" s="764"/>
    </row>
    <row r="52" spans="1:6" ht="15">
      <c r="A52" s="164"/>
      <c r="B52" s="172"/>
      <c r="C52" s="177"/>
      <c r="D52" s="177"/>
      <c r="E52" s="781"/>
      <c r="F52" s="764"/>
    </row>
    <row r="53" spans="1:6" ht="34.5">
      <c r="A53" s="165" t="s">
        <v>84</v>
      </c>
      <c r="B53" s="173"/>
      <c r="C53" s="178"/>
      <c r="D53" s="178"/>
      <c r="E53" s="782"/>
      <c r="F53" s="765"/>
    </row>
    <row r="54" spans="1:6" ht="34.5">
      <c r="A54" s="165" t="s">
        <v>85</v>
      </c>
      <c r="B54" s="173"/>
      <c r="C54" s="178">
        <v>10600</v>
      </c>
      <c r="D54" s="178">
        <v>13250</v>
      </c>
      <c r="E54" s="782">
        <v>10600</v>
      </c>
      <c r="F54" s="763">
        <v>-2650</v>
      </c>
    </row>
    <row r="55" spans="1:6" ht="34.5">
      <c r="A55" s="165" t="s">
        <v>86</v>
      </c>
      <c r="B55" s="173"/>
      <c r="C55" s="178">
        <v>457044</v>
      </c>
      <c r="D55" s="178">
        <v>450000</v>
      </c>
      <c r="E55" s="782">
        <v>510245</v>
      </c>
      <c r="F55" s="763">
        <v>60245</v>
      </c>
    </row>
    <row r="56" spans="1:6" ht="34.5">
      <c r="A56" s="165" t="s">
        <v>87</v>
      </c>
      <c r="B56" s="173"/>
      <c r="C56" s="178">
        <v>158470</v>
      </c>
      <c r="D56" s="178">
        <v>166120</v>
      </c>
      <c r="E56" s="782">
        <v>163740</v>
      </c>
      <c r="F56" s="763">
        <v>-2380</v>
      </c>
    </row>
    <row r="57" spans="1:6" ht="34.5">
      <c r="A57" s="165" t="s">
        <v>88</v>
      </c>
      <c r="B57" s="173"/>
      <c r="C57" s="178">
        <v>11630</v>
      </c>
      <c r="D57" s="178">
        <v>11500</v>
      </c>
      <c r="E57" s="782">
        <v>11630</v>
      </c>
      <c r="F57" s="763">
        <v>130</v>
      </c>
    </row>
    <row r="58" spans="1:6" ht="34.5">
      <c r="A58" s="165" t="s">
        <v>89</v>
      </c>
      <c r="B58" s="173"/>
      <c r="C58" s="178">
        <v>18250</v>
      </c>
      <c r="D58" s="178">
        <v>21000</v>
      </c>
      <c r="E58" s="782">
        <v>18250</v>
      </c>
      <c r="F58" s="763">
        <v>-2750</v>
      </c>
    </row>
    <row r="59" spans="1:6" ht="34.5">
      <c r="A59" s="165" t="s">
        <v>90</v>
      </c>
      <c r="B59" s="173"/>
      <c r="C59" s="178">
        <v>133800</v>
      </c>
      <c r="D59" s="178">
        <v>130000</v>
      </c>
      <c r="E59" s="782">
        <v>133800</v>
      </c>
      <c r="F59" s="763">
        <v>3800</v>
      </c>
    </row>
    <row r="60" spans="1:6" ht="34.5">
      <c r="A60" s="165" t="s">
        <v>117</v>
      </c>
      <c r="B60" s="173"/>
      <c r="C60" s="178">
        <v>32146</v>
      </c>
      <c r="D60" s="178">
        <v>1531500</v>
      </c>
      <c r="E60" s="782">
        <v>1029230</v>
      </c>
      <c r="F60" s="763">
        <v>-502270</v>
      </c>
    </row>
    <row r="61" spans="1:6" ht="34.5">
      <c r="A61" s="165" t="s">
        <v>91</v>
      </c>
      <c r="B61" s="173"/>
      <c r="C61" s="178">
        <v>1043</v>
      </c>
      <c r="D61" s="178">
        <v>1300</v>
      </c>
      <c r="E61" s="782">
        <v>1050</v>
      </c>
      <c r="F61" s="763">
        <v>-250</v>
      </c>
    </row>
    <row r="62" spans="1:6" ht="34.5">
      <c r="A62" s="165" t="s">
        <v>92</v>
      </c>
      <c r="B62" s="173"/>
      <c r="C62" s="178">
        <v>6000</v>
      </c>
      <c r="D62" s="178">
        <v>6000</v>
      </c>
      <c r="E62" s="782">
        <v>6000</v>
      </c>
      <c r="F62" s="763">
        <v>0</v>
      </c>
    </row>
    <row r="63" spans="1:6" ht="34.5">
      <c r="A63" s="165" t="s">
        <v>93</v>
      </c>
      <c r="B63" s="173"/>
      <c r="C63" s="178">
        <v>287</v>
      </c>
      <c r="D63" s="178">
        <v>0</v>
      </c>
      <c r="E63" s="782">
        <v>0</v>
      </c>
      <c r="F63" s="763">
        <v>0</v>
      </c>
    </row>
    <row r="64" spans="1:6" ht="34.5">
      <c r="A64" s="165" t="s">
        <v>94</v>
      </c>
      <c r="B64" s="173"/>
      <c r="C64" s="178">
        <v>20418</v>
      </c>
      <c r="D64" s="178">
        <v>15000</v>
      </c>
      <c r="E64" s="782">
        <v>20000</v>
      </c>
      <c r="F64" s="763">
        <v>5000</v>
      </c>
    </row>
    <row r="65" spans="1:6" ht="34.5">
      <c r="A65" s="165" t="s">
        <v>113</v>
      </c>
      <c r="B65" s="173"/>
      <c r="C65" s="178">
        <v>0</v>
      </c>
      <c r="D65" s="178">
        <v>0</v>
      </c>
      <c r="E65" s="782">
        <v>0</v>
      </c>
      <c r="F65" s="763">
        <v>0</v>
      </c>
    </row>
    <row r="66" spans="1:6" ht="34.5">
      <c r="A66" s="165" t="s">
        <v>95</v>
      </c>
      <c r="B66" s="173"/>
      <c r="C66" s="178">
        <v>10380</v>
      </c>
      <c r="D66" s="178">
        <v>17000</v>
      </c>
      <c r="E66" s="782">
        <v>10400</v>
      </c>
      <c r="F66" s="763">
        <v>-6600</v>
      </c>
    </row>
    <row r="67" spans="1:6" ht="34.5">
      <c r="A67" s="165" t="s">
        <v>96</v>
      </c>
      <c r="B67" s="173"/>
      <c r="C67" s="178">
        <v>27000</v>
      </c>
      <c r="D67" s="178">
        <v>30000</v>
      </c>
      <c r="E67" s="782">
        <v>22650</v>
      </c>
      <c r="F67" s="763">
        <v>-7350</v>
      </c>
    </row>
    <row r="68" spans="1:6" ht="34.5">
      <c r="A68" s="165" t="s">
        <v>97</v>
      </c>
      <c r="B68" s="173"/>
      <c r="C68" s="178">
        <v>417780</v>
      </c>
      <c r="D68" s="178">
        <v>760000</v>
      </c>
      <c r="E68" s="782">
        <v>235000</v>
      </c>
      <c r="F68" s="763">
        <v>-525000</v>
      </c>
    </row>
    <row r="69" spans="1:6" ht="34.5">
      <c r="A69" s="165" t="s">
        <v>98</v>
      </c>
      <c r="B69" s="173"/>
      <c r="C69" s="178">
        <v>21165</v>
      </c>
      <c r="D69" s="178">
        <v>20000</v>
      </c>
      <c r="E69" s="782">
        <v>21150</v>
      </c>
      <c r="F69" s="763">
        <v>1150</v>
      </c>
    </row>
    <row r="70" spans="1:6" ht="34.5">
      <c r="A70" s="165" t="s">
        <v>99</v>
      </c>
      <c r="B70" s="173"/>
      <c r="C70" s="178">
        <v>75</v>
      </c>
      <c r="D70" s="178">
        <v>500</v>
      </c>
      <c r="E70" s="782">
        <v>0</v>
      </c>
      <c r="F70" s="763">
        <v>-500</v>
      </c>
    </row>
    <row r="71" spans="1:6" ht="34.5">
      <c r="A71" s="165" t="s">
        <v>100</v>
      </c>
      <c r="B71" s="173"/>
      <c r="C71" s="178">
        <v>8250</v>
      </c>
      <c r="D71" s="178">
        <v>6000</v>
      </c>
      <c r="E71" s="782">
        <v>8250</v>
      </c>
      <c r="F71" s="763">
        <v>2250</v>
      </c>
    </row>
    <row r="72" spans="1:6" ht="34.5">
      <c r="A72" s="165" t="s">
        <v>101</v>
      </c>
      <c r="B72" s="173"/>
      <c r="C72" s="178">
        <v>4100</v>
      </c>
      <c r="D72" s="178">
        <v>4500</v>
      </c>
      <c r="E72" s="782">
        <v>4100</v>
      </c>
      <c r="F72" s="763">
        <v>-400</v>
      </c>
    </row>
    <row r="73" spans="1:6" ht="34.5">
      <c r="A73" s="165" t="s">
        <v>102</v>
      </c>
      <c r="B73" s="173"/>
      <c r="C73" s="178">
        <v>1790</v>
      </c>
      <c r="D73" s="178">
        <v>1500</v>
      </c>
      <c r="E73" s="782">
        <v>1800</v>
      </c>
      <c r="F73" s="763">
        <v>300</v>
      </c>
    </row>
    <row r="74" spans="1:6" ht="34.5">
      <c r="A74" s="165" t="s">
        <v>103</v>
      </c>
      <c r="B74" s="173"/>
      <c r="C74" s="178">
        <v>970</v>
      </c>
      <c r="D74" s="178">
        <v>1200</v>
      </c>
      <c r="E74" s="782">
        <v>975</v>
      </c>
      <c r="F74" s="763">
        <v>-225</v>
      </c>
    </row>
    <row r="75" spans="1:6" ht="34.5">
      <c r="A75" s="165" t="s">
        <v>104</v>
      </c>
      <c r="B75" s="173"/>
      <c r="C75" s="178">
        <v>99465</v>
      </c>
      <c r="D75" s="178">
        <v>115000</v>
      </c>
      <c r="E75" s="782">
        <v>100000</v>
      </c>
      <c r="F75" s="763">
        <v>-15000</v>
      </c>
    </row>
    <row r="76" spans="1:6" ht="34.5">
      <c r="A76" s="165" t="s">
        <v>105</v>
      </c>
      <c r="B76" s="173"/>
      <c r="C76" s="178">
        <v>22374</v>
      </c>
      <c r="D76" s="178">
        <v>22500</v>
      </c>
      <c r="E76" s="782">
        <v>22375</v>
      </c>
      <c r="F76" s="763">
        <v>-125</v>
      </c>
    </row>
    <row r="77" spans="1:6" ht="34.5">
      <c r="A77" s="165" t="s">
        <v>106</v>
      </c>
      <c r="B77" s="173"/>
      <c r="C77" s="178">
        <v>300151</v>
      </c>
      <c r="D77" s="178">
        <v>300000</v>
      </c>
      <c r="E77" s="782">
        <v>300000</v>
      </c>
      <c r="F77" s="763">
        <v>0</v>
      </c>
    </row>
    <row r="78" spans="1:6" ht="34.5">
      <c r="A78" s="165" t="s">
        <v>107</v>
      </c>
      <c r="B78" s="173"/>
      <c r="C78" s="178">
        <v>1046</v>
      </c>
      <c r="D78" s="178">
        <v>4500</v>
      </c>
      <c r="E78" s="782">
        <v>1000</v>
      </c>
      <c r="F78" s="763">
        <v>-3500</v>
      </c>
    </row>
    <row r="79" spans="1:6" ht="34.5">
      <c r="A79" s="165" t="s">
        <v>108</v>
      </c>
      <c r="B79" s="173"/>
      <c r="C79" s="178">
        <v>6666</v>
      </c>
      <c r="D79" s="178">
        <v>6500</v>
      </c>
      <c r="E79" s="782">
        <v>6500</v>
      </c>
      <c r="F79" s="763">
        <v>0</v>
      </c>
    </row>
    <row r="80" spans="1:6" ht="34.5">
      <c r="A80" s="165" t="s">
        <v>109</v>
      </c>
      <c r="B80" s="173"/>
      <c r="C80" s="178">
        <v>8906</v>
      </c>
      <c r="D80" s="178">
        <v>10000</v>
      </c>
      <c r="E80" s="782">
        <v>6500</v>
      </c>
      <c r="F80" s="763">
        <v>-3500</v>
      </c>
    </row>
    <row r="81" spans="1:6" ht="34.5">
      <c r="A81" s="165" t="s">
        <v>110</v>
      </c>
      <c r="B81" s="173"/>
      <c r="C81" s="178">
        <v>350</v>
      </c>
      <c r="D81" s="178">
        <v>250</v>
      </c>
      <c r="E81" s="782">
        <v>350</v>
      </c>
      <c r="F81" s="763">
        <v>100</v>
      </c>
    </row>
    <row r="82" spans="1:6" ht="34.5">
      <c r="A82" s="165" t="s">
        <v>114</v>
      </c>
      <c r="B82" s="173"/>
      <c r="C82" s="178">
        <v>0</v>
      </c>
      <c r="D82" s="178">
        <v>0</v>
      </c>
      <c r="E82" s="782">
        <v>0</v>
      </c>
      <c r="F82" s="763">
        <v>0</v>
      </c>
    </row>
    <row r="83" spans="1:6" ht="34.5">
      <c r="A83" s="165" t="s">
        <v>111</v>
      </c>
      <c r="B83" s="173"/>
      <c r="C83" s="178">
        <v>22625</v>
      </c>
      <c r="D83" s="178">
        <v>3875</v>
      </c>
      <c r="E83" s="782">
        <v>22625</v>
      </c>
      <c r="F83" s="763">
        <v>18750</v>
      </c>
    </row>
    <row r="84" spans="1:6" ht="34.5">
      <c r="A84" s="165" t="s">
        <v>112</v>
      </c>
      <c r="B84" s="173"/>
      <c r="C84" s="178">
        <v>101699</v>
      </c>
      <c r="D84" s="178">
        <v>285467</v>
      </c>
      <c r="E84" s="782">
        <v>120000</v>
      </c>
      <c r="F84" s="763">
        <v>-165467</v>
      </c>
    </row>
    <row r="85" spans="1:6" s="179" customFormat="1" ht="35.25">
      <c r="A85" s="180" t="s">
        <v>115</v>
      </c>
      <c r="B85" s="181"/>
      <c r="C85" s="182">
        <v>1904480</v>
      </c>
      <c r="D85" s="182">
        <v>3934462</v>
      </c>
      <c r="E85" s="783">
        <v>2788220</v>
      </c>
      <c r="F85" s="766">
        <v>-1146242</v>
      </c>
    </row>
    <row r="86" spans="1:6" ht="34.5">
      <c r="A86" s="165"/>
      <c r="B86" s="173"/>
      <c r="C86" s="178"/>
      <c r="D86" s="178"/>
      <c r="E86" s="782"/>
      <c r="F86" s="765"/>
    </row>
    <row r="87" spans="1:6" ht="34.5">
      <c r="A87" s="165"/>
      <c r="B87" s="173"/>
      <c r="C87" s="178"/>
      <c r="D87" s="178"/>
      <c r="E87" s="782"/>
      <c r="F87" s="765"/>
    </row>
    <row r="88" spans="1:6" ht="34.5">
      <c r="A88" s="165" t="s">
        <v>83</v>
      </c>
      <c r="B88" s="173"/>
      <c r="C88" s="178"/>
      <c r="D88" s="178"/>
      <c r="E88" s="782"/>
      <c r="F88" s="765"/>
    </row>
    <row r="89" spans="1:6" ht="15.75" thickBot="1">
      <c r="A89" s="166"/>
      <c r="B89" s="167"/>
      <c r="C89" s="167"/>
      <c r="D89" s="167"/>
      <c r="E89" s="784"/>
      <c r="F89" s="76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30" zoomScaleNormal="30" zoomScalePageLayoutView="0" workbookViewId="0" topLeftCell="B4">
      <selection activeCell="K26" sqref="K26"/>
    </sheetView>
  </sheetViews>
  <sheetFormatPr defaultColWidth="9.6640625" defaultRowHeight="15"/>
  <cols>
    <col min="1" max="1" width="133.5546875" style="75" customWidth="1"/>
    <col min="2" max="4" width="62.21484375" style="217" customWidth="1"/>
    <col min="5" max="5" width="62.3359375" style="217" customWidth="1"/>
    <col min="6" max="16384" width="9.6640625" style="75" customWidth="1"/>
  </cols>
  <sheetData>
    <row r="1" spans="1:5" s="52" customFormat="1" ht="45">
      <c r="A1" s="9" t="s">
        <v>2</v>
      </c>
      <c r="B1" s="208" t="s">
        <v>3</v>
      </c>
      <c r="C1" s="638" t="s">
        <v>183</v>
      </c>
      <c r="D1" s="639"/>
      <c r="E1" s="639"/>
    </row>
    <row r="2" spans="1:7" s="52" customFormat="1" ht="45">
      <c r="A2" s="9" t="s">
        <v>9</v>
      </c>
      <c r="B2" s="209"/>
      <c r="C2" s="209"/>
      <c r="D2" s="209"/>
      <c r="E2" s="209"/>
      <c r="F2" s="11"/>
      <c r="G2" s="11"/>
    </row>
    <row r="3" spans="1:7" s="52" customFormat="1" ht="45.75" thickBot="1">
      <c r="A3" s="10" t="s">
        <v>10</v>
      </c>
      <c r="B3" s="210"/>
      <c r="C3" s="210"/>
      <c r="D3" s="210"/>
      <c r="E3" s="210"/>
      <c r="F3" s="123"/>
      <c r="G3" s="123"/>
    </row>
    <row r="4" spans="1:8" ht="36" thickTop="1">
      <c r="A4" s="131" t="s">
        <v>11</v>
      </c>
      <c r="B4" s="235" t="s">
        <v>44</v>
      </c>
      <c r="C4" s="235" t="s">
        <v>45</v>
      </c>
      <c r="D4" s="235" t="s">
        <v>45</v>
      </c>
      <c r="E4" s="234" t="s">
        <v>46</v>
      </c>
      <c r="F4" s="126"/>
      <c r="G4" s="126"/>
      <c r="H4" s="126"/>
    </row>
    <row r="5" spans="1:8" ht="36" thickBot="1">
      <c r="A5" s="129"/>
      <c r="B5" s="237" t="s">
        <v>70</v>
      </c>
      <c r="C5" s="237" t="s">
        <v>70</v>
      </c>
      <c r="D5" s="237" t="s">
        <v>201</v>
      </c>
      <c r="E5" s="236" t="s">
        <v>70</v>
      </c>
      <c r="F5" s="126"/>
      <c r="G5" s="126"/>
      <c r="H5" s="126"/>
    </row>
    <row r="6" spans="1:5" ht="36" thickTop="1">
      <c r="A6" s="127" t="s">
        <v>12</v>
      </c>
      <c r="B6" s="636"/>
      <c r="C6" s="636"/>
      <c r="D6" s="636"/>
      <c r="E6" s="636"/>
    </row>
    <row r="7" spans="1:5" ht="34.5">
      <c r="A7" s="129" t="s">
        <v>13</v>
      </c>
      <c r="B7" s="640"/>
      <c r="C7" s="640"/>
      <c r="D7" s="640"/>
      <c r="E7" s="640">
        <f aca="true" t="shared" si="0" ref="E7:E12">D7-C7</f>
        <v>0</v>
      </c>
    </row>
    <row r="8" spans="1:5" ht="34.5">
      <c r="A8" s="132" t="s">
        <v>14</v>
      </c>
      <c r="B8" s="641"/>
      <c r="C8" s="641"/>
      <c r="D8" s="641"/>
      <c r="E8" s="641">
        <f t="shared" si="0"/>
        <v>0</v>
      </c>
    </row>
    <row r="9" spans="1:5" ht="34.5">
      <c r="A9" s="133" t="s">
        <v>15</v>
      </c>
      <c r="B9" s="641"/>
      <c r="C9" s="641"/>
      <c r="D9" s="641"/>
      <c r="E9" s="641">
        <f t="shared" si="0"/>
        <v>0</v>
      </c>
    </row>
    <row r="10" spans="1:5" ht="34.5">
      <c r="A10" s="134" t="s">
        <v>16</v>
      </c>
      <c r="B10" s="641"/>
      <c r="C10" s="641"/>
      <c r="D10" s="641"/>
      <c r="E10" s="641">
        <f t="shared" si="0"/>
        <v>0</v>
      </c>
    </row>
    <row r="11" spans="1:5" ht="34.5">
      <c r="A11" s="134" t="s">
        <v>17</v>
      </c>
      <c r="B11" s="641"/>
      <c r="C11" s="641"/>
      <c r="D11" s="641"/>
      <c r="E11" s="641">
        <f t="shared" si="0"/>
        <v>0</v>
      </c>
    </row>
    <row r="12" spans="1:5" ht="35.25">
      <c r="A12" s="135" t="s">
        <v>18</v>
      </c>
      <c r="B12" s="641">
        <f>B10+B9+B8+B7+B11</f>
        <v>0</v>
      </c>
      <c r="C12" s="641">
        <f>C10+C9+C8+C7+C11</f>
        <v>0</v>
      </c>
      <c r="D12" s="641">
        <f>D10+D9+D8+D7+D11</f>
        <v>0</v>
      </c>
      <c r="E12" s="641">
        <f t="shared" si="0"/>
        <v>0</v>
      </c>
    </row>
    <row r="13" spans="1:5" ht="35.25">
      <c r="A13" s="127" t="s">
        <v>19</v>
      </c>
      <c r="B13" s="641"/>
      <c r="C13" s="641"/>
      <c r="D13" s="641"/>
      <c r="E13" s="641"/>
    </row>
    <row r="14" spans="1:5" ht="35.25">
      <c r="A14" s="128" t="s">
        <v>20</v>
      </c>
      <c r="B14" s="640"/>
      <c r="C14" s="640"/>
      <c r="D14" s="640"/>
      <c r="E14" s="640"/>
    </row>
    <row r="15" spans="1:5" ht="34.5">
      <c r="A15" s="136" t="s">
        <v>21</v>
      </c>
      <c r="B15" s="642">
        <v>16673214.18</v>
      </c>
      <c r="C15" s="643">
        <v>16699127</v>
      </c>
      <c r="D15" s="643">
        <f>18259154+384713+22298+487</f>
        <v>18666652</v>
      </c>
      <c r="E15" s="643">
        <f aca="true" t="shared" si="1" ref="E15:E20">D15-C15</f>
        <v>1967525</v>
      </c>
    </row>
    <row r="16" spans="1:5" ht="34.5">
      <c r="A16" s="134" t="s">
        <v>22</v>
      </c>
      <c r="B16" s="644">
        <v>2101895</v>
      </c>
      <c r="C16" s="645">
        <v>1748357</v>
      </c>
      <c r="D16" s="645">
        <v>2086000</v>
      </c>
      <c r="E16" s="645">
        <f t="shared" si="1"/>
        <v>337643</v>
      </c>
    </row>
    <row r="17" spans="1:5" ht="34.5">
      <c r="A17" s="133" t="s">
        <v>23</v>
      </c>
      <c r="B17" s="644">
        <v>1790464</v>
      </c>
      <c r="C17" s="645">
        <v>2071788</v>
      </c>
      <c r="D17" s="645">
        <f>1830756+40720</f>
        <v>1871476</v>
      </c>
      <c r="E17" s="645">
        <f t="shared" si="1"/>
        <v>-200312</v>
      </c>
    </row>
    <row r="18" spans="1:5" ht="34.5">
      <c r="A18" s="133" t="s">
        <v>24</v>
      </c>
      <c r="B18" s="644">
        <v>909566.35</v>
      </c>
      <c r="C18" s="645">
        <v>900543</v>
      </c>
      <c r="D18" s="645">
        <f>921861+20536</f>
        <v>942397</v>
      </c>
      <c r="E18" s="645">
        <f t="shared" si="1"/>
        <v>41854</v>
      </c>
    </row>
    <row r="19" spans="1:5" ht="34.5">
      <c r="A19" s="134" t="s">
        <v>25</v>
      </c>
      <c r="B19" s="645">
        <v>588615</v>
      </c>
      <c r="C19" s="645">
        <v>2635830</v>
      </c>
      <c r="D19" s="645">
        <v>2431871</v>
      </c>
      <c r="E19" s="645">
        <f t="shared" si="1"/>
        <v>-203959</v>
      </c>
    </row>
    <row r="20" spans="1:5" s="179" customFormat="1" ht="35.25">
      <c r="A20" s="530" t="s">
        <v>26</v>
      </c>
      <c r="B20" s="646">
        <f>SUM(B15:B19)</f>
        <v>22063754.53</v>
      </c>
      <c r="C20" s="646">
        <v>24055645</v>
      </c>
      <c r="D20" s="646">
        <f>SUM(D15:D19)</f>
        <v>25998396</v>
      </c>
      <c r="E20" s="646">
        <f t="shared" si="1"/>
        <v>1942751</v>
      </c>
    </row>
    <row r="21" spans="1:5" ht="34.5">
      <c r="A21" s="136" t="s">
        <v>27</v>
      </c>
      <c r="B21" s="640"/>
      <c r="C21" s="640"/>
      <c r="D21" s="640"/>
      <c r="E21" s="640">
        <v>0</v>
      </c>
    </row>
    <row r="22" spans="1:5" ht="34.5">
      <c r="A22" s="130" t="s">
        <v>28</v>
      </c>
      <c r="B22" s="645">
        <v>34801</v>
      </c>
      <c r="C22" s="645">
        <v>30000</v>
      </c>
      <c r="D22" s="645">
        <v>15000</v>
      </c>
      <c r="E22" s="645">
        <f>D22-C22</f>
        <v>-15000</v>
      </c>
    </row>
    <row r="23" spans="1:5" ht="34.5">
      <c r="A23" s="120" t="s">
        <v>29</v>
      </c>
      <c r="B23" s="641"/>
      <c r="C23" s="641"/>
      <c r="D23" s="641"/>
      <c r="E23" s="641">
        <v>0</v>
      </c>
    </row>
    <row r="24" spans="1:5" ht="34.5">
      <c r="A24" s="133" t="s">
        <v>30</v>
      </c>
      <c r="B24" s="641"/>
      <c r="C24" s="641"/>
      <c r="D24" s="641"/>
      <c r="E24" s="641">
        <v>0</v>
      </c>
    </row>
    <row r="25" spans="1:5" ht="34.5">
      <c r="A25" s="130" t="s">
        <v>31</v>
      </c>
      <c r="B25" s="641"/>
      <c r="C25" s="641"/>
      <c r="D25" s="641"/>
      <c r="E25" s="641">
        <v>0</v>
      </c>
    </row>
    <row r="26" spans="1:5" ht="34.5">
      <c r="A26" s="120" t="s">
        <v>32</v>
      </c>
      <c r="B26" s="645">
        <v>1236482</v>
      </c>
      <c r="C26" s="645">
        <v>1581822</v>
      </c>
      <c r="D26" s="645">
        <v>1219092</v>
      </c>
      <c r="E26" s="645">
        <f>D26-C26</f>
        <v>-362730</v>
      </c>
    </row>
    <row r="27" spans="1:5" s="179" customFormat="1" ht="35.25">
      <c r="A27" s="137" t="s">
        <v>33</v>
      </c>
      <c r="B27" s="646">
        <f>(B26+B22+B20)</f>
        <v>23335037.53</v>
      </c>
      <c r="C27" s="646">
        <v>25667467</v>
      </c>
      <c r="D27" s="646">
        <f>(D26+D22+D20)</f>
        <v>27232488</v>
      </c>
      <c r="E27" s="646">
        <f>D27-C27</f>
        <v>1565021</v>
      </c>
    </row>
    <row r="28" spans="1:5" ht="35.25">
      <c r="A28" s="128" t="s">
        <v>34</v>
      </c>
      <c r="B28" s="641"/>
      <c r="C28" s="641"/>
      <c r="D28" s="641"/>
      <c r="E28" s="641"/>
    </row>
    <row r="29" spans="1:5" ht="34.5">
      <c r="A29" s="138" t="s">
        <v>35</v>
      </c>
      <c r="B29" s="640"/>
      <c r="C29" s="640"/>
      <c r="D29" s="640"/>
      <c r="E29" s="640">
        <v>0</v>
      </c>
    </row>
    <row r="30" spans="1:5" ht="34.5">
      <c r="A30" s="132" t="s">
        <v>36</v>
      </c>
      <c r="B30" s="641"/>
      <c r="C30" s="641"/>
      <c r="D30" s="641"/>
      <c r="E30" s="641">
        <v>0</v>
      </c>
    </row>
    <row r="31" spans="1:5" ht="35.25">
      <c r="A31" s="139" t="s">
        <v>37</v>
      </c>
      <c r="B31" s="641"/>
      <c r="C31" s="641"/>
      <c r="D31" s="641"/>
      <c r="E31" s="641"/>
    </row>
    <row r="32" spans="1:5" ht="34.5">
      <c r="A32" s="130" t="s">
        <v>38</v>
      </c>
      <c r="B32" s="640"/>
      <c r="C32" s="640"/>
      <c r="D32" s="640"/>
      <c r="E32" s="640">
        <v>0</v>
      </c>
    </row>
    <row r="33" spans="1:5" ht="34.5">
      <c r="A33" s="132" t="s">
        <v>39</v>
      </c>
      <c r="B33" s="641"/>
      <c r="C33" s="641"/>
      <c r="D33" s="641"/>
      <c r="E33" s="641">
        <v>0</v>
      </c>
    </row>
    <row r="34" spans="1:5" s="637" customFormat="1" ht="45">
      <c r="A34" s="127" t="s">
        <v>40</v>
      </c>
      <c r="B34" s="647">
        <v>0</v>
      </c>
      <c r="C34" s="647">
        <v>0</v>
      </c>
      <c r="D34" s="647">
        <v>0</v>
      </c>
      <c r="E34" s="647">
        <v>0</v>
      </c>
    </row>
    <row r="35" spans="1:5" s="637" customFormat="1" ht="45.75" thickBot="1">
      <c r="A35" s="140" t="s">
        <v>41</v>
      </c>
      <c r="B35" s="648">
        <f>SUM(B27:B34)</f>
        <v>23335037.53</v>
      </c>
      <c r="C35" s="648">
        <v>25667467</v>
      </c>
      <c r="D35" s="648">
        <f>SUM(D27:D34)</f>
        <v>27232488</v>
      </c>
      <c r="E35" s="648">
        <f>D35-C35</f>
        <v>1565021</v>
      </c>
    </row>
    <row r="36" spans="1:5" s="52" customFormat="1" ht="45" thickTop="1">
      <c r="A36" s="97"/>
      <c r="B36" s="215"/>
      <c r="C36" s="215"/>
      <c r="D36" s="215"/>
      <c r="E36" s="649"/>
    </row>
    <row r="37" spans="1:5" ht="45">
      <c r="A37" s="49" t="s">
        <v>42</v>
      </c>
      <c r="B37" s="650"/>
      <c r="C37" s="650"/>
      <c r="D37" s="650"/>
      <c r="E37" s="650"/>
    </row>
    <row r="38" spans="1:5" ht="44.25">
      <c r="A38" s="51"/>
      <c r="B38" s="209"/>
      <c r="C38" s="209"/>
      <c r="D38" s="209"/>
      <c r="E38" s="209"/>
    </row>
    <row r="39" spans="1:5" ht="44.25">
      <c r="A39" s="53" t="s">
        <v>43</v>
      </c>
      <c r="B39" s="209"/>
      <c r="C39" s="209"/>
      <c r="D39" s="209"/>
      <c r="E39" s="209"/>
    </row>
    <row r="40" spans="1:5" ht="20.25">
      <c r="A40" s="101"/>
      <c r="B40" s="238"/>
      <c r="C40" s="238"/>
      <c r="D40" s="238"/>
      <c r="E40" s="238"/>
    </row>
    <row r="41" spans="1:5" ht="20.25">
      <c r="A41" s="101" t="s">
        <v>0</v>
      </c>
      <c r="B41" s="651"/>
      <c r="C41" s="651"/>
      <c r="D41" s="651"/>
      <c r="E41" s="651"/>
    </row>
    <row r="42" spans="1:5" ht="20.25">
      <c r="A42" s="101"/>
      <c r="B42" s="238"/>
      <c r="C42" s="238"/>
      <c r="D42" s="238"/>
      <c r="E42" s="238"/>
    </row>
    <row r="44" spans="1:5" ht="25.5">
      <c r="A44" s="121"/>
      <c r="B44" s="216"/>
      <c r="C44" s="216"/>
      <c r="D44" s="216"/>
      <c r="E44" s="216"/>
    </row>
    <row r="45" spans="1:5" ht="25.5">
      <c r="A45" s="122"/>
      <c r="B45" s="216"/>
      <c r="C45" s="216"/>
      <c r="D45" s="216"/>
      <c r="E45" s="216"/>
    </row>
    <row r="46" spans="1:5" ht="25.5">
      <c r="A46" s="122"/>
      <c r="B46" s="216"/>
      <c r="C46" s="216"/>
      <c r="D46" s="216"/>
      <c r="E46" s="216"/>
    </row>
    <row r="47" spans="1:5" ht="25.5">
      <c r="A47" s="122"/>
      <c r="B47" s="216"/>
      <c r="C47" s="216"/>
      <c r="D47" s="216"/>
      <c r="E47" s="216"/>
    </row>
    <row r="48" spans="1:5" ht="25.5">
      <c r="A48" s="122"/>
      <c r="B48" s="216"/>
      <c r="C48" s="216"/>
      <c r="D48" s="216"/>
      <c r="E48" s="216"/>
    </row>
    <row r="49" spans="1:5" ht="25.5">
      <c r="A49" s="122"/>
      <c r="B49" s="216"/>
      <c r="C49" s="216"/>
      <c r="D49" s="216"/>
      <c r="E49" s="216"/>
    </row>
    <row r="50" spans="1:5" ht="25.5">
      <c r="A50" s="122"/>
      <c r="B50" s="216"/>
      <c r="C50" s="216"/>
      <c r="D50" s="216"/>
      <c r="E50" s="216"/>
    </row>
    <row r="51" spans="1:5" ht="25.5">
      <c r="A51" s="122"/>
      <c r="B51" s="216"/>
      <c r="C51" s="216"/>
      <c r="D51" s="216"/>
      <c r="E51" s="216"/>
    </row>
    <row r="52" spans="1:5" ht="25.5">
      <c r="A52" s="122"/>
      <c r="B52" s="216"/>
      <c r="C52" s="216"/>
      <c r="D52" s="216"/>
      <c r="E52" s="216"/>
    </row>
    <row r="53" spans="1:5" ht="25.5">
      <c r="A53" s="122"/>
      <c r="B53" s="216"/>
      <c r="C53" s="216"/>
      <c r="D53" s="216"/>
      <c r="E53" s="216"/>
    </row>
    <row r="54" spans="1:5" ht="25.5">
      <c r="A54" s="122"/>
      <c r="B54" s="216"/>
      <c r="C54" s="216"/>
      <c r="D54" s="216"/>
      <c r="E54" s="216"/>
    </row>
    <row r="55" spans="1:5" ht="25.5">
      <c r="A55" s="122"/>
      <c r="B55" s="216"/>
      <c r="C55" s="216"/>
      <c r="D55" s="216"/>
      <c r="E55" s="216"/>
    </row>
    <row r="56" spans="1:5" ht="25.5">
      <c r="A56" s="122"/>
      <c r="B56" s="216"/>
      <c r="C56" s="216"/>
      <c r="D56" s="216"/>
      <c r="E56" s="216"/>
    </row>
    <row r="57" spans="1:5" ht="25.5">
      <c r="A57" s="122"/>
      <c r="B57" s="216"/>
      <c r="C57" s="216"/>
      <c r="D57" s="216"/>
      <c r="E57" s="216"/>
    </row>
    <row r="58" spans="1:5" ht="25.5">
      <c r="A58" s="122"/>
      <c r="B58" s="216"/>
      <c r="C58" s="216"/>
      <c r="D58" s="216"/>
      <c r="E58" s="216"/>
    </row>
    <row r="59" spans="1:5" ht="25.5">
      <c r="A59" s="122"/>
      <c r="B59" s="216"/>
      <c r="C59" s="216"/>
      <c r="D59" s="216"/>
      <c r="E59" s="216"/>
    </row>
    <row r="60" spans="1:5" ht="25.5">
      <c r="A60" s="122"/>
      <c r="B60" s="216"/>
      <c r="C60" s="216"/>
      <c r="D60" s="216"/>
      <c r="E60" s="216"/>
    </row>
    <row r="61" spans="1:5" ht="25.5">
      <c r="A61" s="122"/>
      <c r="B61" s="216"/>
      <c r="C61" s="216"/>
      <c r="D61" s="216"/>
      <c r="E61" s="216"/>
    </row>
    <row r="62" spans="1:5" ht="25.5">
      <c r="A62" s="122"/>
      <c r="B62" s="216"/>
      <c r="C62" s="216"/>
      <c r="D62" s="216"/>
      <c r="E62" s="216"/>
    </row>
    <row r="63" spans="1:5" ht="25.5">
      <c r="A63" s="122"/>
      <c r="B63" s="216"/>
      <c r="C63" s="216"/>
      <c r="D63" s="216"/>
      <c r="E63" s="216"/>
    </row>
    <row r="64" spans="1:5" ht="25.5">
      <c r="A64" s="122"/>
      <c r="B64" s="216"/>
      <c r="C64" s="216"/>
      <c r="D64" s="216"/>
      <c r="E64" s="216"/>
    </row>
    <row r="65" spans="1:5" ht="25.5">
      <c r="A65" s="122"/>
      <c r="B65" s="216"/>
      <c r="C65" s="216"/>
      <c r="D65" s="216"/>
      <c r="E65" s="216"/>
    </row>
    <row r="66" spans="1:5" ht="25.5">
      <c r="A66" s="122"/>
      <c r="B66" s="216"/>
      <c r="C66" s="216"/>
      <c r="D66" s="216"/>
      <c r="E66" s="216"/>
    </row>
    <row r="67" spans="1:5" ht="25.5">
      <c r="A67" s="122"/>
      <c r="B67" s="216"/>
      <c r="C67" s="216"/>
      <c r="D67" s="216"/>
      <c r="E67" s="21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30" zoomScaleNormal="30" zoomScalePageLayoutView="0" workbookViewId="0" topLeftCell="B1">
      <selection activeCell="K26" sqref="K26"/>
    </sheetView>
  </sheetViews>
  <sheetFormatPr defaultColWidth="9.6640625" defaultRowHeight="15"/>
  <cols>
    <col min="1" max="1" width="133.5546875" style="75" customWidth="1"/>
    <col min="2" max="2" width="61.10546875" style="75" customWidth="1"/>
    <col min="3" max="3" width="60.4453125" style="75" customWidth="1"/>
    <col min="4" max="4" width="61.5546875" style="75" customWidth="1"/>
    <col min="5" max="5" width="60.77734375" style="75" customWidth="1"/>
    <col min="6" max="16384" width="9.6640625" style="75" customWidth="1"/>
  </cols>
  <sheetData>
    <row r="1" spans="1:5" s="52" customFormat="1" ht="45">
      <c r="A1" s="9" t="s">
        <v>2</v>
      </c>
      <c r="B1" s="12" t="s">
        <v>3</v>
      </c>
      <c r="C1" s="455" t="s">
        <v>72</v>
      </c>
      <c r="D1" s="70"/>
      <c r="E1" s="69"/>
    </row>
    <row r="2" spans="1:6" s="52" customFormat="1" ht="45">
      <c r="A2" s="9" t="s">
        <v>9</v>
      </c>
      <c r="B2" s="11"/>
      <c r="C2" s="11"/>
      <c r="D2" s="11"/>
      <c r="E2" s="11"/>
      <c r="F2" s="11"/>
    </row>
    <row r="3" spans="1:6" s="52" customFormat="1" ht="45.75" thickBot="1">
      <c r="A3" s="10" t="s">
        <v>10</v>
      </c>
      <c r="B3" s="123"/>
      <c r="C3" s="123"/>
      <c r="D3" s="123"/>
      <c r="E3" s="123"/>
      <c r="F3" s="123"/>
    </row>
    <row r="4" spans="1:7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126"/>
      <c r="G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5" ht="35.25">
      <c r="A6" s="127" t="s">
        <v>12</v>
      </c>
      <c r="B6" s="196"/>
      <c r="C6" s="196"/>
      <c r="D6" s="196"/>
      <c r="E6" s="197"/>
    </row>
    <row r="7" spans="1:5" ht="35.25">
      <c r="A7" s="129" t="s">
        <v>13</v>
      </c>
      <c r="B7" s="735"/>
      <c r="C7" s="735"/>
      <c r="D7" s="736"/>
      <c r="E7" s="737"/>
    </row>
    <row r="8" spans="1:5" ht="35.25">
      <c r="A8" s="132" t="s">
        <v>14</v>
      </c>
      <c r="B8" s="738"/>
      <c r="C8" s="738"/>
      <c r="D8" s="739"/>
      <c r="E8" s="740">
        <f>D8-C8</f>
        <v>0</v>
      </c>
    </row>
    <row r="9" spans="1:5" ht="35.25">
      <c r="A9" s="133" t="s">
        <v>15</v>
      </c>
      <c r="B9" s="741"/>
      <c r="C9" s="741"/>
      <c r="D9" s="742"/>
      <c r="E9" s="740">
        <f>D9-C9</f>
        <v>0</v>
      </c>
    </row>
    <row r="10" spans="1:5" ht="35.25">
      <c r="A10" s="134" t="s">
        <v>16</v>
      </c>
      <c r="B10" s="741"/>
      <c r="C10" s="741"/>
      <c r="D10" s="742"/>
      <c r="E10" s="740">
        <f>D10-C10</f>
        <v>0</v>
      </c>
    </row>
    <row r="11" spans="1:5" ht="35.25">
      <c r="A11" s="134" t="s">
        <v>17</v>
      </c>
      <c r="B11" s="741">
        <v>67091</v>
      </c>
      <c r="C11" s="741">
        <v>67091</v>
      </c>
      <c r="D11" s="742">
        <v>74923</v>
      </c>
      <c r="E11" s="740">
        <f>D11-C11</f>
        <v>7832</v>
      </c>
    </row>
    <row r="12" spans="1:5" ht="35.25">
      <c r="A12" s="135" t="s">
        <v>18</v>
      </c>
      <c r="B12" s="741">
        <f>B10+B9+B8+B7+B11</f>
        <v>67091</v>
      </c>
      <c r="C12" s="741">
        <f>C10+C9+C8+C7+C11</f>
        <v>67091</v>
      </c>
      <c r="D12" s="741">
        <f>D10+D9+D8+D7+D11</f>
        <v>74923</v>
      </c>
      <c r="E12" s="741">
        <f>E10+E9+E8+E7+E11</f>
        <v>7832</v>
      </c>
    </row>
    <row r="13" spans="1:5" ht="35.25">
      <c r="A13" s="127" t="s">
        <v>19</v>
      </c>
      <c r="B13" s="741"/>
      <c r="C13" s="741"/>
      <c r="D13" s="741"/>
      <c r="E13" s="740"/>
    </row>
    <row r="14" spans="1:5" ht="35.25">
      <c r="A14" s="128" t="s">
        <v>20</v>
      </c>
      <c r="B14" s="741"/>
      <c r="C14" s="741"/>
      <c r="D14" s="742"/>
      <c r="E14" s="743"/>
    </row>
    <row r="15" spans="1:5" ht="35.25">
      <c r="A15" s="43" t="s">
        <v>21</v>
      </c>
      <c r="B15" s="740">
        <v>19459750</v>
      </c>
      <c r="C15" s="740">
        <v>20679131</v>
      </c>
      <c r="D15" s="740">
        <v>20866200</v>
      </c>
      <c r="E15" s="740">
        <f>D15-C15</f>
        <v>187069</v>
      </c>
    </row>
    <row r="16" spans="1:5" ht="35.25">
      <c r="A16" s="39" t="s">
        <v>22</v>
      </c>
      <c r="B16" s="744">
        <v>2324582</v>
      </c>
      <c r="C16" s="744">
        <v>2391380</v>
      </c>
      <c r="D16" s="744">
        <v>2324582</v>
      </c>
      <c r="E16" s="740">
        <f>D16-C16</f>
        <v>-66798</v>
      </c>
    </row>
    <row r="17" spans="1:5" ht="35.25">
      <c r="A17" s="38" t="s">
        <v>23</v>
      </c>
      <c r="B17" s="744">
        <v>2003298</v>
      </c>
      <c r="C17" s="744">
        <v>2158818</v>
      </c>
      <c r="D17" s="744">
        <v>2003010</v>
      </c>
      <c r="E17" s="740">
        <f>D17-C17</f>
        <v>-155808</v>
      </c>
    </row>
    <row r="18" spans="1:5" ht="35.25">
      <c r="A18" s="38" t="s">
        <v>24</v>
      </c>
      <c r="B18" s="744">
        <v>1038533</v>
      </c>
      <c r="C18" s="744">
        <v>1119835</v>
      </c>
      <c r="D18" s="744">
        <v>1039166</v>
      </c>
      <c r="E18" s="740">
        <f>D18-C18</f>
        <v>-80669</v>
      </c>
    </row>
    <row r="19" spans="1:5" ht="35.25">
      <c r="A19" s="39" t="s">
        <v>25</v>
      </c>
      <c r="B19" s="744">
        <v>727918</v>
      </c>
      <c r="C19" s="744">
        <v>752310</v>
      </c>
      <c r="D19" s="744">
        <v>723925</v>
      </c>
      <c r="E19" s="740">
        <f>D19-C19</f>
        <v>-28385</v>
      </c>
    </row>
    <row r="20" spans="1:5" ht="35.25">
      <c r="A20" s="530" t="s">
        <v>26</v>
      </c>
      <c r="B20" s="745">
        <f>B19+B18+B17+B16+B15</f>
        <v>25554081</v>
      </c>
      <c r="C20" s="745">
        <f>C19+C18+C17+C16+C15</f>
        <v>27101474</v>
      </c>
      <c r="D20" s="745">
        <f>D19+D18+D17+D16+D15</f>
        <v>26956883</v>
      </c>
      <c r="E20" s="745">
        <f>E19+E18+E17+E16+E15</f>
        <v>-144591</v>
      </c>
    </row>
    <row r="21" spans="1:5" ht="35.25">
      <c r="A21" s="136" t="s">
        <v>27</v>
      </c>
      <c r="B21" s="738"/>
      <c r="C21" s="738"/>
      <c r="D21" s="739"/>
      <c r="E21" s="740"/>
    </row>
    <row r="22" spans="1:5" ht="35.25">
      <c r="A22" s="130" t="s">
        <v>28</v>
      </c>
      <c r="B22" s="741">
        <v>727436</v>
      </c>
      <c r="C22" s="741">
        <v>721403</v>
      </c>
      <c r="D22" s="741">
        <v>732208</v>
      </c>
      <c r="E22" s="740">
        <f aca="true" t="shared" si="0" ref="E22:E27">D22-C22</f>
        <v>10805</v>
      </c>
    </row>
    <row r="23" spans="1:5" ht="35.25">
      <c r="A23" s="120" t="s">
        <v>29</v>
      </c>
      <c r="B23" s="741"/>
      <c r="C23" s="741"/>
      <c r="D23" s="742"/>
      <c r="E23" s="740">
        <f t="shared" si="0"/>
        <v>0</v>
      </c>
    </row>
    <row r="24" spans="1:5" ht="35.25">
      <c r="A24" s="133" t="s">
        <v>30</v>
      </c>
      <c r="B24" s="741"/>
      <c r="C24" s="741"/>
      <c r="D24" s="742"/>
      <c r="E24" s="740">
        <f t="shared" si="0"/>
        <v>0</v>
      </c>
    </row>
    <row r="25" spans="1:5" ht="35.25">
      <c r="A25" s="130" t="s">
        <v>31</v>
      </c>
      <c r="B25" s="741"/>
      <c r="C25" s="741"/>
      <c r="D25" s="742"/>
      <c r="E25" s="740">
        <f t="shared" si="0"/>
        <v>0</v>
      </c>
    </row>
    <row r="26" spans="1:5" ht="35.25">
      <c r="A26" s="120" t="s">
        <v>32</v>
      </c>
      <c r="B26" s="741">
        <v>2337591</v>
      </c>
      <c r="C26" s="741">
        <v>2011273</v>
      </c>
      <c r="D26" s="741">
        <v>2331923</v>
      </c>
      <c r="E26" s="740">
        <f t="shared" si="0"/>
        <v>320650</v>
      </c>
    </row>
    <row r="27" spans="1:5" ht="35.25">
      <c r="A27" s="137" t="s">
        <v>33</v>
      </c>
      <c r="B27" s="745">
        <f>B26+B25+B24+B23+B22+B21+B20</f>
        <v>28619108</v>
      </c>
      <c r="C27" s="745">
        <f>C26+C25+C24+C23+C22+C21+C20</f>
        <v>29834150</v>
      </c>
      <c r="D27" s="745">
        <f>D26+D25+D24+D23+D22+D21+D20</f>
        <v>30021014</v>
      </c>
      <c r="E27" s="740">
        <f t="shared" si="0"/>
        <v>186864</v>
      </c>
    </row>
    <row r="28" spans="1:5" ht="35.25">
      <c r="A28" s="128" t="s">
        <v>34</v>
      </c>
      <c r="B28" s="738"/>
      <c r="C28" s="738"/>
      <c r="D28" s="739"/>
      <c r="E28" s="746"/>
    </row>
    <row r="29" spans="1:5" ht="35.25">
      <c r="A29" s="138" t="s">
        <v>35</v>
      </c>
      <c r="B29" s="738"/>
      <c r="C29" s="738"/>
      <c r="D29" s="747"/>
      <c r="E29" s="740">
        <f aca="true" t="shared" si="1" ref="E29:E35">D29-C29</f>
        <v>0</v>
      </c>
    </row>
    <row r="30" spans="1:5" ht="35.25">
      <c r="A30" s="132" t="s">
        <v>36</v>
      </c>
      <c r="B30" s="745"/>
      <c r="C30" s="745"/>
      <c r="D30" s="748"/>
      <c r="E30" s="740">
        <f t="shared" si="1"/>
        <v>0</v>
      </c>
    </row>
    <row r="31" spans="1:5" ht="35.25">
      <c r="A31" s="139" t="s">
        <v>37</v>
      </c>
      <c r="B31" s="749"/>
      <c r="C31" s="749"/>
      <c r="D31" s="747"/>
      <c r="E31" s="750">
        <f t="shared" si="1"/>
        <v>0</v>
      </c>
    </row>
    <row r="32" spans="1:5" ht="35.25">
      <c r="A32" s="130" t="s">
        <v>38</v>
      </c>
      <c r="B32" s="738"/>
      <c r="C32" s="738"/>
      <c r="D32" s="739"/>
      <c r="E32" s="740">
        <f t="shared" si="1"/>
        <v>0</v>
      </c>
    </row>
    <row r="33" spans="1:5" ht="35.25">
      <c r="A33" s="132" t="s">
        <v>39</v>
      </c>
      <c r="B33" s="741"/>
      <c r="C33" s="741"/>
      <c r="D33" s="742"/>
      <c r="E33" s="740">
        <f t="shared" si="1"/>
        <v>0</v>
      </c>
    </row>
    <row r="34" spans="1:5" s="52" customFormat="1" ht="44.25">
      <c r="A34" s="127" t="s">
        <v>40</v>
      </c>
      <c r="B34" s="741">
        <f>B33+B32+B30+B29</f>
        <v>0</v>
      </c>
      <c r="C34" s="741">
        <f>C33+C32+C30+C29</f>
        <v>0</v>
      </c>
      <c r="D34" s="741">
        <f>D33+D32+D30+D29</f>
        <v>0</v>
      </c>
      <c r="E34" s="740">
        <f t="shared" si="1"/>
        <v>0</v>
      </c>
    </row>
    <row r="35" spans="1:5" s="52" customFormat="1" ht="45" thickBot="1">
      <c r="A35" s="140" t="s">
        <v>41</v>
      </c>
      <c r="B35" s="751">
        <f>B34+B27+B12</f>
        <v>28686199</v>
      </c>
      <c r="C35" s="751">
        <f>C34+C27+C13</f>
        <v>29834150</v>
      </c>
      <c r="D35" s="751">
        <f>D34+D27+D13</f>
        <v>30021014</v>
      </c>
      <c r="E35" s="751">
        <f t="shared" si="1"/>
        <v>186864</v>
      </c>
    </row>
    <row r="36" s="52" customFormat="1" ht="45" thickTop="1">
      <c r="A36" s="97"/>
    </row>
    <row r="37" spans="1:5" ht="45">
      <c r="A37" s="49" t="s">
        <v>42</v>
      </c>
      <c r="B37" s="50"/>
      <c r="C37" s="50"/>
      <c r="D37" s="50"/>
      <c r="E37" s="50"/>
    </row>
    <row r="38" spans="1:5" ht="44.25">
      <c r="A38" s="51"/>
      <c r="B38" s="52"/>
      <c r="C38" s="52"/>
      <c r="D38" s="52"/>
      <c r="E38" s="52"/>
    </row>
    <row r="39" spans="1:5" ht="44.25">
      <c r="A39" s="53" t="s">
        <v>43</v>
      </c>
      <c r="B39" s="52"/>
      <c r="C39" s="52"/>
      <c r="D39" s="52"/>
      <c r="E39" s="52"/>
    </row>
    <row r="40" spans="1:5" ht="20.25">
      <c r="A40" s="101"/>
      <c r="B40" s="100"/>
      <c r="C40" s="100"/>
      <c r="D40" s="100"/>
      <c r="E40" s="100"/>
    </row>
    <row r="41" spans="1:5" ht="20.25">
      <c r="A41" s="101" t="s">
        <v>0</v>
      </c>
      <c r="B41" s="99"/>
      <c r="C41" s="99"/>
      <c r="D41" s="99"/>
      <c r="E41" s="99"/>
    </row>
    <row r="42" spans="1:5" ht="20.25">
      <c r="A42" s="101"/>
      <c r="B42" s="100"/>
      <c r="C42" s="100"/>
      <c r="D42" s="100"/>
      <c r="E42" s="100"/>
    </row>
    <row r="44" spans="1:5" ht="25.5">
      <c r="A44" s="121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  <row r="65" spans="1:5" ht="25.5">
      <c r="A65" s="122"/>
      <c r="B65" s="122"/>
      <c r="C65" s="122"/>
      <c r="D65" s="122"/>
      <c r="E65" s="122"/>
    </row>
    <row r="66" spans="1:5" ht="25.5">
      <c r="A66" s="122"/>
      <c r="B66" s="122"/>
      <c r="C66" s="122"/>
      <c r="D66" s="122"/>
      <c r="E66" s="122"/>
    </row>
    <row r="67" spans="1:5" ht="25.5">
      <c r="A67" s="122"/>
      <c r="B67" s="122"/>
      <c r="C67" s="122"/>
      <c r="D67" s="122"/>
      <c r="E67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16384" width="9.6640625" style="75" customWidth="1"/>
  </cols>
  <sheetData>
    <row r="1" spans="1:5" s="52" customFormat="1" ht="45">
      <c r="A1" s="9" t="s">
        <v>2</v>
      </c>
      <c r="B1" s="12" t="s">
        <v>3</v>
      </c>
      <c r="C1" s="455" t="s">
        <v>182</v>
      </c>
      <c r="D1" s="70"/>
      <c r="E1" s="69"/>
    </row>
    <row r="2" spans="1:5" s="52" customFormat="1" ht="45">
      <c r="A2" s="9" t="s">
        <v>9</v>
      </c>
      <c r="B2" s="11"/>
      <c r="C2" s="11"/>
      <c r="D2" s="11"/>
      <c r="E2" s="11"/>
    </row>
    <row r="3" spans="1:5" s="52" customFormat="1" ht="45.75" thickBot="1">
      <c r="A3" s="10" t="s">
        <v>10</v>
      </c>
      <c r="B3" s="123"/>
      <c r="C3" s="123"/>
      <c r="D3" s="123"/>
      <c r="E3" s="123"/>
    </row>
    <row r="4" spans="1:5" ht="36" thickTop="1">
      <c r="A4" s="131" t="s">
        <v>11</v>
      </c>
      <c r="B4" s="124" t="s">
        <v>44</v>
      </c>
      <c r="C4" s="141" t="s">
        <v>45</v>
      </c>
      <c r="D4" s="124" t="s">
        <v>45</v>
      </c>
      <c r="E4" s="141" t="s">
        <v>46</v>
      </c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5" ht="35.25">
      <c r="A6" s="127" t="s">
        <v>12</v>
      </c>
      <c r="B6" s="196"/>
      <c r="C6" s="196"/>
      <c r="D6" s="196"/>
      <c r="E6" s="197"/>
    </row>
    <row r="7" spans="1:5" ht="34.5">
      <c r="A7" s="129" t="s">
        <v>13</v>
      </c>
      <c r="B7" s="198">
        <v>0</v>
      </c>
      <c r="C7" s="198">
        <v>0</v>
      </c>
      <c r="D7" s="198">
        <v>0</v>
      </c>
      <c r="E7" s="204">
        <f>D7-B7</f>
        <v>0</v>
      </c>
    </row>
    <row r="8" spans="1:5" ht="34.5">
      <c r="A8" s="132" t="s">
        <v>14</v>
      </c>
      <c r="B8" s="200">
        <v>0</v>
      </c>
      <c r="C8" s="200">
        <v>0</v>
      </c>
      <c r="D8" s="200">
        <v>0</v>
      </c>
      <c r="E8" s="218">
        <f>D8-B8</f>
        <v>0</v>
      </c>
    </row>
    <row r="9" spans="1:5" ht="34.5">
      <c r="A9" s="133" t="s">
        <v>15</v>
      </c>
      <c r="B9" s="200">
        <v>0</v>
      </c>
      <c r="C9" s="200">
        <v>0</v>
      </c>
      <c r="D9" s="200">
        <v>0</v>
      </c>
      <c r="E9" s="218">
        <f>D9-B9</f>
        <v>0</v>
      </c>
    </row>
    <row r="10" spans="1:5" ht="34.5">
      <c r="A10" s="134" t="s">
        <v>16</v>
      </c>
      <c r="B10" s="200">
        <v>0</v>
      </c>
      <c r="C10" s="200">
        <v>0</v>
      </c>
      <c r="D10" s="200">
        <v>0</v>
      </c>
      <c r="E10" s="218">
        <f>D10-B10</f>
        <v>0</v>
      </c>
    </row>
    <row r="11" spans="1:5" ht="34.5">
      <c r="A11" s="134" t="s">
        <v>125</v>
      </c>
      <c r="B11" s="200">
        <v>36000</v>
      </c>
      <c r="C11" s="200">
        <v>36000</v>
      </c>
      <c r="D11" s="200">
        <v>36000</v>
      </c>
      <c r="E11" s="218">
        <f>D11-C11</f>
        <v>0</v>
      </c>
    </row>
    <row r="12" spans="1:5" ht="35.25">
      <c r="A12" s="135" t="s">
        <v>18</v>
      </c>
      <c r="B12" s="201">
        <f>B10+B9+B8+B7+B11</f>
        <v>36000</v>
      </c>
      <c r="C12" s="201">
        <f>C10+C9+C8+C7+C11</f>
        <v>36000</v>
      </c>
      <c r="D12" s="201">
        <f>D10+D9+D8+D7+D11</f>
        <v>36000</v>
      </c>
      <c r="E12" s="521">
        <f>D12-C12</f>
        <v>0</v>
      </c>
    </row>
    <row r="13" spans="1:5" ht="35.25">
      <c r="A13" s="127" t="s">
        <v>19</v>
      </c>
      <c r="B13" s="200"/>
      <c r="C13" s="200"/>
      <c r="D13" s="200"/>
      <c r="E13" s="218"/>
    </row>
    <row r="14" spans="1:5" ht="35.25">
      <c r="A14" s="128" t="s">
        <v>20</v>
      </c>
      <c r="B14" s="198"/>
      <c r="C14" s="198"/>
      <c r="D14" s="198"/>
      <c r="E14" s="204"/>
    </row>
    <row r="15" spans="1:5" ht="34.5">
      <c r="A15" s="136" t="s">
        <v>21</v>
      </c>
      <c r="B15" s="199">
        <v>0</v>
      </c>
      <c r="C15" s="199">
        <v>0</v>
      </c>
      <c r="D15" s="199">
        <v>0</v>
      </c>
      <c r="E15" s="199">
        <f>B15-D15</f>
        <v>0</v>
      </c>
    </row>
    <row r="16" spans="1:5" ht="34.5">
      <c r="A16" s="134" t="s">
        <v>22</v>
      </c>
      <c r="B16" s="202">
        <v>0</v>
      </c>
      <c r="C16" s="202">
        <v>0</v>
      </c>
      <c r="D16" s="202">
        <v>0</v>
      </c>
      <c r="E16" s="202">
        <f>D16-B16</f>
        <v>0</v>
      </c>
    </row>
    <row r="17" spans="1:5" ht="34.5">
      <c r="A17" s="133" t="s">
        <v>23</v>
      </c>
      <c r="B17" s="202">
        <v>0</v>
      </c>
      <c r="C17" s="202">
        <v>0</v>
      </c>
      <c r="D17" s="202">
        <v>0</v>
      </c>
      <c r="E17" s="202">
        <f>D17-B17</f>
        <v>0</v>
      </c>
    </row>
    <row r="18" spans="1:5" ht="34.5">
      <c r="A18" s="133" t="s">
        <v>24</v>
      </c>
      <c r="B18" s="202">
        <v>0</v>
      </c>
      <c r="C18" s="202">
        <v>0</v>
      </c>
      <c r="D18" s="202">
        <v>0</v>
      </c>
      <c r="E18" s="202">
        <f>D18-B18</f>
        <v>0</v>
      </c>
    </row>
    <row r="19" spans="1:5" ht="34.5">
      <c r="A19" s="129" t="s">
        <v>25</v>
      </c>
      <c r="B19" s="198">
        <v>0</v>
      </c>
      <c r="C19" s="198">
        <v>0</v>
      </c>
      <c r="D19" s="198">
        <v>0</v>
      </c>
      <c r="E19" s="198">
        <f>D19-B19</f>
        <v>0</v>
      </c>
    </row>
    <row r="20" spans="1:5" ht="35.25">
      <c r="A20" s="127" t="s">
        <v>26</v>
      </c>
      <c r="B20" s="201">
        <f>B19+B18+B17+B16+B15</f>
        <v>0</v>
      </c>
      <c r="C20" s="201">
        <f>C19+C18+C17+C16+C15</f>
        <v>0</v>
      </c>
      <c r="D20" s="201">
        <f>D19+D18+D17+D16+D15</f>
        <v>0</v>
      </c>
      <c r="E20" s="521">
        <f>E19+E18+E17+E16+E15</f>
        <v>0</v>
      </c>
    </row>
    <row r="21" spans="1:5" ht="34.5">
      <c r="A21" s="136" t="s">
        <v>27</v>
      </c>
      <c r="B21" s="198">
        <v>0</v>
      </c>
      <c r="C21" s="198">
        <v>0</v>
      </c>
      <c r="D21" s="198">
        <v>0</v>
      </c>
      <c r="E21" s="204">
        <f>D21-B21</f>
        <v>0</v>
      </c>
    </row>
    <row r="22" spans="1:5" ht="34.5">
      <c r="A22" s="130" t="s">
        <v>28</v>
      </c>
      <c r="B22" s="200">
        <v>0</v>
      </c>
      <c r="C22" s="200">
        <v>0</v>
      </c>
      <c r="D22" s="200">
        <v>0</v>
      </c>
      <c r="E22" s="218">
        <f>D22-B22</f>
        <v>0</v>
      </c>
    </row>
    <row r="23" spans="1:5" ht="34.5">
      <c r="A23" s="120" t="s">
        <v>29</v>
      </c>
      <c r="B23" s="200">
        <v>0</v>
      </c>
      <c r="C23" s="200">
        <v>0</v>
      </c>
      <c r="D23" s="200">
        <v>0</v>
      </c>
      <c r="E23" s="218">
        <f>D23-B23</f>
        <v>0</v>
      </c>
    </row>
    <row r="24" spans="1:5" ht="34.5">
      <c r="A24" s="133" t="s">
        <v>30</v>
      </c>
      <c r="B24" s="200">
        <v>0</v>
      </c>
      <c r="C24" s="200">
        <v>0</v>
      </c>
      <c r="D24" s="200">
        <v>0</v>
      </c>
      <c r="E24" s="218">
        <f>D24-B24</f>
        <v>0</v>
      </c>
    </row>
    <row r="25" spans="1:5" ht="34.5">
      <c r="A25" s="130" t="s">
        <v>31</v>
      </c>
      <c r="B25" s="200">
        <v>0</v>
      </c>
      <c r="C25" s="200">
        <v>0</v>
      </c>
      <c r="D25" s="200">
        <v>0</v>
      </c>
      <c r="E25" s="218">
        <f>D25-B25</f>
        <v>0</v>
      </c>
    </row>
    <row r="26" spans="1:5" ht="34.5">
      <c r="A26" s="120" t="s">
        <v>126</v>
      </c>
      <c r="B26" s="200">
        <v>894367</v>
      </c>
      <c r="C26" s="200">
        <v>1150000</v>
      </c>
      <c r="D26" s="200">
        <v>1150000</v>
      </c>
      <c r="E26" s="218">
        <f>D26-C26</f>
        <v>0</v>
      </c>
    </row>
    <row r="27" spans="1:5" ht="35.25">
      <c r="A27" s="137" t="s">
        <v>33</v>
      </c>
      <c r="B27" s="203">
        <f>B26+B25+B24+B23+B22+B21+B20</f>
        <v>894367</v>
      </c>
      <c r="C27" s="203">
        <f>C26+C25+C24+C23+C22+C21+C20</f>
        <v>1150000</v>
      </c>
      <c r="D27" s="203">
        <f>D26+D25+D24+D23+D22+D21+D20</f>
        <v>1150000</v>
      </c>
      <c r="E27" s="531">
        <f>E26+E25+E24+E23+E22+E21</f>
        <v>0</v>
      </c>
    </row>
    <row r="28" spans="1:5" ht="35.25">
      <c r="A28" s="128" t="s">
        <v>34</v>
      </c>
      <c r="B28" s="198"/>
      <c r="C28" s="198"/>
      <c r="D28" s="198"/>
      <c r="E28" s="204"/>
    </row>
    <row r="29" spans="1:5" ht="34.5">
      <c r="A29" s="138" t="s">
        <v>35</v>
      </c>
      <c r="B29" s="198">
        <v>0</v>
      </c>
      <c r="C29" s="198">
        <v>0</v>
      </c>
      <c r="D29" s="205">
        <v>0</v>
      </c>
      <c r="E29" s="204">
        <f>D29-B29</f>
        <v>0</v>
      </c>
    </row>
    <row r="30" spans="1:5" ht="34.5">
      <c r="A30" s="132" t="s">
        <v>36</v>
      </c>
      <c r="B30" s="206">
        <v>0</v>
      </c>
      <c r="C30" s="206">
        <v>0</v>
      </c>
      <c r="D30" s="206">
        <v>0</v>
      </c>
      <c r="E30" s="219">
        <f>D30-B30</f>
        <v>0</v>
      </c>
    </row>
    <row r="31" spans="1:5" ht="35.25">
      <c r="A31" s="139" t="s">
        <v>37</v>
      </c>
      <c r="B31" s="205"/>
      <c r="C31" s="205"/>
      <c r="D31" s="205"/>
      <c r="E31" s="198"/>
    </row>
    <row r="32" spans="1:5" ht="34.5">
      <c r="A32" s="130" t="s">
        <v>38</v>
      </c>
      <c r="B32" s="198">
        <v>0</v>
      </c>
      <c r="C32" s="198">
        <v>0</v>
      </c>
      <c r="D32" s="198">
        <v>0</v>
      </c>
      <c r="E32" s="204">
        <f>D32-B32</f>
        <v>0</v>
      </c>
    </row>
    <row r="33" spans="1:5" ht="34.5">
      <c r="A33" s="132" t="s">
        <v>39</v>
      </c>
      <c r="B33" s="200">
        <v>0</v>
      </c>
      <c r="C33" s="200">
        <v>0</v>
      </c>
      <c r="D33" s="200">
        <v>0</v>
      </c>
      <c r="E33" s="218">
        <f>D33-B33</f>
        <v>0</v>
      </c>
    </row>
    <row r="34" spans="1:5" ht="35.25">
      <c r="A34" s="127" t="s">
        <v>40</v>
      </c>
      <c r="B34" s="201">
        <f>B33+B32+B30+B29</f>
        <v>0</v>
      </c>
      <c r="C34" s="201">
        <f>C33+C32+C30+C29</f>
        <v>0</v>
      </c>
      <c r="D34" s="201">
        <f>D33+D32+D30+D29</f>
        <v>0</v>
      </c>
      <c r="E34" s="521">
        <f>D34-B34</f>
        <v>0</v>
      </c>
    </row>
    <row r="35" spans="1:5" ht="36" thickBot="1">
      <c r="A35" s="140" t="s">
        <v>41</v>
      </c>
      <c r="B35" s="207">
        <f>B34+B27+B12+B20</f>
        <v>930367</v>
      </c>
      <c r="C35" s="207">
        <f>C34+C27+C12+C20</f>
        <v>1186000</v>
      </c>
      <c r="D35" s="207">
        <f>D34+D27+D12+D20</f>
        <v>1186000</v>
      </c>
      <c r="E35" s="207">
        <f>E34+E27+E12+E20</f>
        <v>0</v>
      </c>
    </row>
    <row r="36" spans="1:5" ht="45" thickTop="1">
      <c r="A36" s="51"/>
      <c r="B36" s="52"/>
      <c r="C36" s="52"/>
      <c r="D36" s="52"/>
      <c r="E36" s="52"/>
    </row>
    <row r="37" spans="1:5" ht="20.25">
      <c r="A37" s="101"/>
      <c r="B37" s="100"/>
      <c r="C37" s="100"/>
      <c r="D37" s="100"/>
      <c r="E37" s="100"/>
    </row>
    <row r="38" spans="1:5" ht="20.25">
      <c r="A38" s="101" t="s">
        <v>0</v>
      </c>
      <c r="B38" s="99"/>
      <c r="C38" s="99"/>
      <c r="D38" s="99"/>
      <c r="E38" s="99"/>
    </row>
    <row r="39" spans="1:5" ht="20.25">
      <c r="A39" s="101"/>
      <c r="B39" s="100"/>
      <c r="C39" s="100"/>
      <c r="D39" s="100"/>
      <c r="E39" s="100"/>
    </row>
    <row r="41" spans="1:5" ht="25.5">
      <c r="A41" s="121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25" zoomScaleNormal="25" zoomScalePageLayoutView="0" workbookViewId="0" topLeftCell="B2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4.55468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D1" s="631" t="s">
        <v>3</v>
      </c>
      <c r="E1" s="564" t="s">
        <v>192</v>
      </c>
      <c r="F1" s="565"/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6</v>
      </c>
    </row>
    <row r="6" spans="1:6" ht="50.25" thickTop="1">
      <c r="A6" s="599" t="s">
        <v>12</v>
      </c>
      <c r="B6" s="619"/>
      <c r="C6" s="619"/>
      <c r="D6" s="619"/>
      <c r="E6" s="619"/>
      <c r="F6" s="569"/>
    </row>
    <row r="7" spans="1:6" ht="48">
      <c r="A7" s="583" t="s">
        <v>13</v>
      </c>
      <c r="B7" s="620">
        <f>LSUBR!B7+LSUA!B7+LSUE!B7+LSUS!B7+UNO!B7+'LSUHSC S'!B7+'EA CONWAY'!B7+'LSU AG'!B7+'LSU LAW'!B7+'LSU HSC NO'!B7+LSUBOS!B7+PENNINGTON!B7+'HP Long'!B7</f>
        <v>140652448</v>
      </c>
      <c r="C7" s="620">
        <f>LSUBR!C7+LSUA!C7+LSUE!C7+LSUS!C7+UNO!C7+'LSUHSC S'!C7+'EA CONWAY'!C7+'LSU AG'!C7+'LSU LAW'!C7+'LSU HSC NO'!C7+LSUBOS!C7+PENNINGTON!C7+'HP Long'!C7</f>
        <v>141132863</v>
      </c>
      <c r="D7" s="620">
        <f>LSUBR!D7+LSUA!D7+LSUE!D7+LSUS!D7+UNO!D7+'LSUHSC S'!D7+'EA CONWAY'!D7+'LSU AG'!D7+'LSU LAW'!D7+'LSU HSC NO'!D7+LSUBOS!D7+PENNINGTON!D7+'HP Long'!D7</f>
        <v>131962937</v>
      </c>
      <c r="E7" s="790">
        <f>D7-C7</f>
        <v>-9169926</v>
      </c>
      <c r="F7" s="588">
        <f aca="true" t="shared" si="0" ref="F7:F12">IF(ISERROR(E7/C7),0,(E7/C7))</f>
        <v>-0.0649737120404055</v>
      </c>
    </row>
    <row r="8" spans="1:6" ht="48">
      <c r="A8" s="584" t="s">
        <v>14</v>
      </c>
      <c r="B8" s="620">
        <f>LSUBR!B8+LSUA!B8+LSUE!B8+LSUS!B8+UNO!B8+'LSUHSC S'!B8+'EA CONWAY'!B8+'LSU AG'!B8+'LSU LAW'!B8+'LSU HSC NO'!B8+LSUBOS!B8+PENNINGTON!B8+'HP Long'!B8</f>
        <v>182908585</v>
      </c>
      <c r="C8" s="620">
        <f>LSUBR!C8+LSUA!C8+LSUE!C8+LSUS!C8+UNO!C8+'LSUHSC S'!C8+'EA CONWAY'!C8+'LSU AG'!C8+'LSU LAW'!C8+'LSU HSC NO'!C8+LSUBOS!C8+PENNINGTON!C8+'HP Long'!C8</f>
        <v>184017521</v>
      </c>
      <c r="D8" s="620">
        <f>LSUBR!D8+LSUA!D8+LSUE!D8+LSUS!D8+UNO!D8+'LSUHSC S'!D8+'EA CONWAY'!D8+'LSU AG'!D8+'LSU LAW'!D8+'LSU HSC NO'!D8+LSUBOS!D8+PENNINGTON!D8+'HP Long'!D8</f>
        <v>207532417</v>
      </c>
      <c r="E8" s="791">
        <f>D8-C8</f>
        <v>23514896</v>
      </c>
      <c r="F8" s="587">
        <f t="shared" si="0"/>
        <v>0.1277861796649244</v>
      </c>
    </row>
    <row r="9" spans="1:6" ht="45.75">
      <c r="A9" s="585" t="s">
        <v>15</v>
      </c>
      <c r="B9" s="620">
        <f>LSUBR!B9+LSUA!B9+LSUE!B9+LSUS!B9+UNO!B9+'LSUHSC S'!B9+'EA CONWAY'!B9+'LSU AG'!B9+'LSU LAW'!B9+'LSU HSC NO'!B9+LSUBOS!B9+PENNINGTON!B9+'HP Long'!B9</f>
        <v>35529924</v>
      </c>
      <c r="C9" s="620">
        <f>LSUBR!C9+LSUA!C9+LSUE!C9+LSUS!C9+UNO!C9+'LSUHSC S'!C9+'EA CONWAY'!C9+'LSU AG'!C9+'LSU LAW'!C9+'LSU HSC NO'!C9+LSUBOS!C9+PENNINGTON!C9+'HP Long'!C9</f>
        <v>39169464</v>
      </c>
      <c r="D9" s="620">
        <f>LSUBR!D9+LSUA!D9+LSUE!D9+LSUS!D9+UNO!D9+'LSUHSC S'!D9+'EA CONWAY'!D9+'LSU AG'!D9+'LSU LAW'!D9+'LSU HSC NO'!D9+LSUBOS!D9+PENNINGTON!D9+'HP Long'!D9</f>
        <v>39169464</v>
      </c>
      <c r="E9" s="620">
        <f>LSUBR!E9+LSUA!E9+LSUE!E9+LSUS!E9+UNO!E9+'LSUHSC S'!E9+'EA CONWAY'!E9+'LSU AG'!E9+'LSU LAW'!E9+'LSU HSC NO'!E9+LSUBOS!E9+PENNINGTON!E9</f>
        <v>0</v>
      </c>
      <c r="F9" s="587">
        <f t="shared" si="0"/>
        <v>0</v>
      </c>
    </row>
    <row r="10" spans="1:6" ht="45.75">
      <c r="A10" s="586" t="s">
        <v>16</v>
      </c>
      <c r="B10" s="620">
        <f>LSUBR!B10+LSUA!B10+LSUE!B10+LSUS!B10+UNO!B10+'LSUHSC S'!B10+'EA CONWAY'!B10+'LSU AG'!B10+'LSU LAW'!B10+'LSU HSC NO'!B10+LSUBOS!B10+PENNINGTON!B10+'HP Long'!B10</f>
        <v>6334247</v>
      </c>
      <c r="C10" s="620">
        <f>LSUBR!C10+LSUA!C10+LSUE!C10+LSUS!C10+UNO!C10+'LSUHSC S'!C10+'EA CONWAY'!C10+'LSU AG'!C10+'LSU LAW'!C10+'LSU HSC NO'!C10+LSUBOS!C10+PENNINGTON!C10+'HP Long'!C10</f>
        <v>6044444</v>
      </c>
      <c r="D10" s="620">
        <f>LSUBR!D10+LSUA!D10+LSUE!D10+LSUS!D10+UNO!D10+'LSUHSC S'!D10+'EA CONWAY'!D10+'LSU AG'!D10+'LSU LAW'!D10+'LSU HSC NO'!D10+LSUBOS!D10+PENNINGTON!D10+'HP Long'!D10</f>
        <v>6099986</v>
      </c>
      <c r="E10" s="620">
        <f>LSUBR!E10+LSUA!E10+LSUE!E10+LSUS!E10+UNO!E10+'LSUHSC S'!E10+'EA CONWAY'!E10+'LSU AG'!E10+'LSU LAW'!E10+'LSU HSC NO'!E10+LSUBOS!E10+PENNINGTON!E10</f>
        <v>55542</v>
      </c>
      <c r="F10" s="587">
        <f t="shared" si="0"/>
        <v>0.00918893449918636</v>
      </c>
    </row>
    <row r="11" spans="1:6" ht="45.75">
      <c r="A11" s="586" t="s">
        <v>17</v>
      </c>
      <c r="B11" s="620">
        <f>LSUBR!B11+LSUA!B11+LSUE!B11+LSUS!B11+UNO!B11+'LSUHSC S'!B11+'EA CONWAY'!B11+'LSU AG'!B11+'LSU LAW'!B11+'LSU HSC NO'!B11+LSUBOS!B11+PENNINGTON!B11+'HP Long'!B11</f>
        <v>7798796</v>
      </c>
      <c r="C11" s="620">
        <f>LSUBR!C11+LSUA!C11+LSUE!C11+LSUS!C11+UNO!C11+'LSUHSC S'!C11+'EA CONWAY'!C11+'LSU AG'!C11+'LSU LAW'!C11+'LSU HSC NO'!C11+LSUBOS!C11+PENNINGTON!C11+'HP Long'!C11</f>
        <v>8461300</v>
      </c>
      <c r="D11" s="620">
        <f>LSUBR!D11+LSUA!D11+LSUE!D11+LSUS!D11+UNO!D11+'LSUHSC S'!D11+'EA CONWAY'!D11+'LSU AG'!D11+'LSU LAW'!D11+'LSU HSC NO'!D11+LSUBOS!D11+PENNINGTON!D11+'HP Long'!D11</f>
        <v>7143800</v>
      </c>
      <c r="E11" s="620">
        <f>LSUBR!E11+LSUA!E11+LSUE!E11+LSUS!E11+UNO!E11+'LSUHSC S'!E11+'EA CONWAY'!E11+'LSU AG'!E11+'LSU LAW'!E11+'LSU HSC NO'!E11+LSUBOS!E11+PENNINGTON!E11</f>
        <v>-1317500</v>
      </c>
      <c r="F11" s="587">
        <f t="shared" si="0"/>
        <v>-0.1557089336154019</v>
      </c>
    </row>
    <row r="12" spans="1:6" ht="47.25">
      <c r="A12" s="589" t="s">
        <v>18</v>
      </c>
      <c r="B12" s="621">
        <f>SUM(B7:B11)</f>
        <v>373224000</v>
      </c>
      <c r="C12" s="621">
        <f>SUM(C7:C11)</f>
        <v>378825592</v>
      </c>
      <c r="D12" s="621">
        <f>SUM(D7:D11)</f>
        <v>391908604</v>
      </c>
      <c r="E12" s="621">
        <f>SUM(E7:E11)</f>
        <v>13083012</v>
      </c>
      <c r="F12" s="593">
        <f t="shared" si="0"/>
        <v>0.034535713204930464</v>
      </c>
    </row>
    <row r="13" spans="1:6" ht="49.5">
      <c r="A13" s="582" t="s">
        <v>19</v>
      </c>
      <c r="B13" s="623"/>
      <c r="C13" s="623"/>
      <c r="D13" s="623"/>
      <c r="E13" s="623"/>
      <c r="F13" s="570"/>
    </row>
    <row r="14" spans="1:6" ht="47.25">
      <c r="A14" s="590" t="s">
        <v>20</v>
      </c>
      <c r="B14" s="625"/>
      <c r="C14" s="625"/>
      <c r="D14" s="625"/>
      <c r="E14" s="625"/>
      <c r="F14" s="594"/>
    </row>
    <row r="15" spans="1:6" ht="45.75">
      <c r="A15" s="603" t="s">
        <v>21</v>
      </c>
      <c r="B15" s="620">
        <f>LSUBR!B15+LSUA!B15+LSUE!B15+LSUS!B15+UNO!B15+'LSUHSC S'!B15+'EA CONWAY'!B15+'LSU AG'!B15+'LSU LAW'!B15+'LSU HSC NO'!B15+LSUBOS!B15+PENNINGTON!B15+'HP Long'!B15</f>
        <v>167913639</v>
      </c>
      <c r="C15" s="620">
        <f>LSUBR!C15+LSUA!C15+LSUE!C15+LSUS!C15+UNO!C15+'LSUHSC S'!C15+'EA CONWAY'!C15+'LSU AG'!C15+'LSU LAW'!C15+'LSU HSC NO'!C15+LSUBOS!C15+PENNINGTON!C15+'HP Long'!C15</f>
        <v>176066457</v>
      </c>
      <c r="D15" s="620">
        <f>LSUBR!D15+LSUA!D15+LSUE!D15+LSUS!D15+UNO!D15+'LSUHSC S'!D15+'EA CONWAY'!D15+'LSU AG'!D15+'LSU LAW'!D15+'LSU HSC NO'!D15+LSUBOS!D15+PENNINGTON!D15+'HP Long'!D15</f>
        <v>181147396</v>
      </c>
      <c r="E15" s="620">
        <f>LSUBR!E15+LSUA!E15+LSUE!E15+LSUS!E15+UNO!E15+'LSUHSC S'!E15+'EA CONWAY'!E15+'LSU AG'!E15+'LSU LAW'!E15+'LSU HSC NO'!E15+LSUBOS!E15+PENNINGTON!E15</f>
        <v>5080939</v>
      </c>
      <c r="F15" s="587">
        <f aca="true" t="shared" si="1" ref="F15:F36">IF(ISERROR(E15/C15),0,(E15/C15))</f>
        <v>0.02885807488021412</v>
      </c>
    </row>
    <row r="16" spans="1:6" ht="45.75">
      <c r="A16" s="604" t="s">
        <v>22</v>
      </c>
      <c r="B16" s="620">
        <f>LSUBR!B16+LSUA!B16+LSUE!B16+LSUS!B16+UNO!B16+'LSUHSC S'!B16+'EA CONWAY'!B16+'LSU AG'!B16+'LSU LAW'!B16+'LSU HSC NO'!B16+LSUBOS!B16+PENNINGTON!B16+'HP Long'!B16</f>
        <v>39660095</v>
      </c>
      <c r="C16" s="620">
        <f>LSUBR!C16+LSUA!C16+LSUE!C16+LSUS!C16+UNO!C16+'LSUHSC S'!C16+'EA CONWAY'!C16+'LSU AG'!C16+'LSU LAW'!C16+'LSU HSC NO'!C16+LSUBOS!C16+PENNINGTON!C16+'HP Long'!C16</f>
        <v>39670085</v>
      </c>
      <c r="D16" s="620">
        <f>LSUBR!D16+LSUA!D16+LSUE!D16+LSUS!D16+UNO!D16+'LSUHSC S'!D16+'EA CONWAY'!D16+'LSU AG'!D16+'LSU LAW'!D16+'LSU HSC NO'!D16+LSUBOS!D16+PENNINGTON!D16+'HP Long'!D16</f>
        <v>42536710</v>
      </c>
      <c r="E16" s="620">
        <f>LSUBR!E16+LSUA!E16+LSUE!E16+LSUS!E16+UNO!E16+'LSUHSC S'!E16+'EA CONWAY'!E16+'LSU AG'!E16+'LSU LAW'!E16+'LSU HSC NO'!E16+LSUBOS!E16+PENNINGTON!E16</f>
        <v>2866625</v>
      </c>
      <c r="F16" s="587">
        <f t="shared" si="1"/>
        <v>0.07226162989063421</v>
      </c>
    </row>
    <row r="17" spans="1:6" ht="45.75">
      <c r="A17" s="605" t="s">
        <v>23</v>
      </c>
      <c r="B17" s="620">
        <f>LSUBR!B17+LSUA!B17+LSUE!B17+LSUS!B17+UNO!B17+'LSUHSC S'!B17+'EA CONWAY'!B17+'LSU AG'!B17+'LSU LAW'!B17+'LSU HSC NO'!B17+LSUBOS!B17+PENNINGTON!B17+'HP Long'!B17</f>
        <v>18717113</v>
      </c>
      <c r="C17" s="620">
        <f>LSUBR!C17+LSUA!C17+LSUE!C17+LSUS!C17+UNO!C17+'LSUHSC S'!C17+'EA CONWAY'!C17+'LSU AG'!C17+'LSU LAW'!C17+'LSU HSC NO'!C17+LSUBOS!C17+PENNINGTON!C17+'HP Long'!C17</f>
        <v>20162606</v>
      </c>
      <c r="D17" s="620">
        <f>LSUBR!D17+LSUA!D17+LSUE!D17+LSUS!D17+UNO!D17+'LSUHSC S'!D17+'EA CONWAY'!D17+'LSU AG'!D17+'LSU LAW'!D17+'LSU HSC NO'!D17+LSUBOS!D17+PENNINGTON!D17+'HP Long'!D17</f>
        <v>19823705</v>
      </c>
      <c r="E17" s="620">
        <f>LSUBR!E17+LSUA!E17+LSUE!E17+LSUS!E17+UNO!E17+'LSUHSC S'!E17+'EA CONWAY'!E17+'LSU AG'!E17+'LSU LAW'!E17+'LSU HSC NO'!E17+LSUBOS!E17+PENNINGTON!E17</f>
        <v>-338901</v>
      </c>
      <c r="F17" s="587">
        <f t="shared" si="1"/>
        <v>-0.016808392724630934</v>
      </c>
    </row>
    <row r="18" spans="1:6" ht="45.75">
      <c r="A18" s="605" t="s">
        <v>24</v>
      </c>
      <c r="B18" s="620">
        <f>LSUBR!B18+LSUA!B18+LSUE!B18+LSUS!B18+UNO!B18+'LSUHSC S'!B18+'EA CONWAY'!B18+'LSU AG'!B18+'LSU LAW'!B18+'LSU HSC NO'!B18+LSUBOS!B18+PENNINGTON!B18+'HP Long'!B18</f>
        <v>7887406</v>
      </c>
      <c r="C18" s="620">
        <f>LSUBR!C18+LSUA!C18+LSUE!C18+LSUS!C18+UNO!C18+'LSUHSC S'!C18+'EA CONWAY'!C18+'LSU AG'!C18+'LSU LAW'!C18+'LSU HSC NO'!C18+LSUBOS!C18+PENNINGTON!C18+'HP Long'!C18</f>
        <v>8505689</v>
      </c>
      <c r="D18" s="620">
        <f>LSUBR!D18+LSUA!D18+LSUE!D18+LSUS!D18+UNO!D18+'LSUHSC S'!D18+'EA CONWAY'!D18+'LSU AG'!D18+'LSU LAW'!D18+'LSU HSC NO'!D18+LSUBOS!D18+PENNINGTON!D18+'HP Long'!D18</f>
        <v>8285805</v>
      </c>
      <c r="E18" s="620">
        <f>LSUBR!E18+LSUA!E18+LSUE!E18+LSUS!E18+UNO!E18+'LSUHSC S'!E18+'EA CONWAY'!E18+'LSU AG'!E18+'LSU LAW'!E18+'LSU HSC NO'!E18+LSUBOS!E18+PENNINGTON!E18</f>
        <v>-219884</v>
      </c>
      <c r="F18" s="587">
        <f t="shared" si="1"/>
        <v>-0.02585140368993035</v>
      </c>
    </row>
    <row r="19" spans="1:6" ht="45.75">
      <c r="A19" s="583" t="s">
        <v>25</v>
      </c>
      <c r="B19" s="620">
        <f>LSUBR!B19+LSUA!B19+LSUE!B19+LSUS!B19+UNO!B19+'LSUHSC S'!B19+'EA CONWAY'!B19+'LSU AG'!B19+'LSU LAW'!B19+'LSU HSC NO'!B19+LSUBOS!B19+PENNINGTON!B19+'HP Long'!B19</f>
        <v>15776531</v>
      </c>
      <c r="C19" s="620">
        <f>LSUBR!C19+LSUA!C19+LSUE!C19+LSUS!C19+UNO!C19+'LSUHSC S'!C19+'EA CONWAY'!C19+'LSU AG'!C19+'LSU LAW'!C19+'LSU HSC NO'!C19+LSUBOS!C19+PENNINGTON!C19+'HP Long'!C19</f>
        <v>15559982</v>
      </c>
      <c r="D19" s="620">
        <f>LSUBR!D19+LSUA!D19+LSUE!D19+LSUS!D19+UNO!D19+'LSUHSC S'!D19+'EA CONWAY'!D19+'LSU AG'!D19+'LSU LAW'!D19+'LSU HSC NO'!D19+LSUBOS!D19+PENNINGTON!D19+'HP Long'!D19</f>
        <v>15765435</v>
      </c>
      <c r="E19" s="620">
        <f>LSUBR!E19+LSUA!E19+LSUE!E19+LSUS!E19+UNO!E19+'LSUHSC S'!E19+'EA CONWAY'!E19+'LSU AG'!E19+'LSU LAW'!E19+'LSU HSC NO'!E19+LSUBOS!E19+PENNINGTON!E19</f>
        <v>205453</v>
      </c>
      <c r="F19" s="587">
        <f t="shared" si="1"/>
        <v>0.0132039355829589</v>
      </c>
    </row>
    <row r="20" spans="1:6" ht="47.25">
      <c r="A20" s="595" t="s">
        <v>26</v>
      </c>
      <c r="B20" s="621">
        <f>SUM(B15:B19)</f>
        <v>249954784</v>
      </c>
      <c r="C20" s="621">
        <f>SUM(C15:C19)</f>
        <v>259964819</v>
      </c>
      <c r="D20" s="621">
        <f>SUM(D15:D19)</f>
        <v>267559051</v>
      </c>
      <c r="E20" s="621">
        <f>SUM(E15:E19)</f>
        <v>7594232</v>
      </c>
      <c r="F20" s="593">
        <f t="shared" si="1"/>
        <v>0.02921253740876376</v>
      </c>
    </row>
    <row r="21" spans="1:6" ht="48">
      <c r="A21" s="596" t="s">
        <v>27</v>
      </c>
      <c r="B21" s="620">
        <f>LSUBR!B21+LSUA!B21+LSUE!B21+LSUS!B21+UNO!B21+'LSUHSC S'!B21+'EA CONWAY'!B21+'LSU AG'!B21+'LSU LAW'!B21+'LSU HSC NO'!B21+LSUBOS!B21+PENNINGTON!B21+'HP Long'!B21</f>
        <v>44590215</v>
      </c>
      <c r="C21" s="620">
        <f>LSUBR!C21+LSUA!C21+LSUE!C21+LSUS!C21+UNO!C21+'LSUHSC S'!C21+'EA CONWAY'!C21+'LSU AG'!C21+'LSU LAW'!C21+'LSU HSC NO'!C21+LSUBOS!C21+PENNINGTON!C21+'HP Long'!C21</f>
        <v>44590215</v>
      </c>
      <c r="D21" s="620">
        <f>LSUBR!D21+LSUA!D21+LSUE!D21+LSUS!D21+UNO!D21+'LSUHSC S'!D21+'EA CONWAY'!D21+'LSU AG'!D21+'LSU LAW'!D21+'LSU HSC NO'!D21+LSUBOS!D21+PENNINGTON!D21+'HP Long'!D21</f>
        <v>50065580</v>
      </c>
      <c r="E21" s="790">
        <f>D21-C21</f>
        <v>5475365</v>
      </c>
      <c r="F21" s="587">
        <f t="shared" si="1"/>
        <v>0.12279297150731389</v>
      </c>
    </row>
    <row r="22" spans="1:6" ht="48">
      <c r="A22" s="591" t="s">
        <v>28</v>
      </c>
      <c r="B22" s="620">
        <f>LSUBR!B22+LSUA!B22+LSUE!B22+LSUS!B22+UNO!B22+'LSUHSC S'!B22+'EA CONWAY'!B22+'LSU AG'!B22+'LSU LAW'!B22+'LSU HSC NO'!B22+LSUBOS!B22+PENNINGTON!B22+'HP Long'!B22</f>
        <v>16054400</v>
      </c>
      <c r="C22" s="620">
        <f>LSUBR!C22+LSUA!C22+LSUE!C22+LSUS!C22+UNO!C22+'LSUHSC S'!C22+'EA CONWAY'!C22+'LSU AG'!C22+'LSU LAW'!C22+'LSU HSC NO'!C22+LSUBOS!C22+PENNINGTON!C22+'HP Long'!C22</f>
        <v>14954065</v>
      </c>
      <c r="D22" s="620">
        <f>LSUBR!D22+LSUA!D22+LSUE!D22+LSUS!D22+UNO!D22+'LSUHSC S'!D22+'EA CONWAY'!D22+'LSU AG'!D22+'LSU LAW'!D22+'LSU HSC NO'!D22+LSUBOS!D22+PENNINGTON!D22+'HP Long'!D22</f>
        <v>16801481</v>
      </c>
      <c r="E22" s="791">
        <f>D22-C22</f>
        <v>1847416</v>
      </c>
      <c r="F22" s="587">
        <f t="shared" si="1"/>
        <v>0.12353938544469346</v>
      </c>
    </row>
    <row r="23" spans="1:6" ht="45.75">
      <c r="A23" s="597" t="s">
        <v>29</v>
      </c>
      <c r="B23" s="620">
        <f>LSUBR!B23+LSUA!B23+LSUE!B23+LSUS!B23+UNO!B23+'LSUHSC S'!B23+'EA CONWAY'!B23+'LSU AG'!B23+'LSU LAW'!B23+'LSU HSC NO'!B23+LSUBOS!B23+PENNINGTON!B23+'HP Long'!B23</f>
        <v>0</v>
      </c>
      <c r="C23" s="620">
        <f>LSUBR!C23+LSUA!C23+LSUE!C23+LSUS!C23+UNO!C23+'LSUHSC S'!C23+'EA CONWAY'!C23+'LSU AG'!C23+'LSU LAW'!C23+'LSU HSC NO'!C23+LSUBOS!C23+PENNINGTON!C23+'HP Long'!C23</f>
        <v>0</v>
      </c>
      <c r="D23" s="620">
        <f>LSUBR!D23+LSUA!D23+LSUE!D23+LSUS!D23+UNO!D23+'LSUHSC S'!D23+'EA CONWAY'!D23+'LSU AG'!D23+'LSU LAW'!D23+'LSU HSC NO'!D23+LSUBOS!D23+PENNINGTON!D23+'HP Long'!D23</f>
        <v>0</v>
      </c>
      <c r="E23" s="620">
        <f>LSUBR!E23+LSUA!E23+LSUE!E23+LSUS!E23+UNO!E23+'LSUHSC S'!E23+'EA CONWAY'!E23+'LSU AG'!E23+'LSU LAW'!E23+'LSU HSC NO'!E23+LSUBOS!E23+PENNINGTON!E23</f>
        <v>0</v>
      </c>
      <c r="F23" s="587">
        <f t="shared" si="1"/>
        <v>0</v>
      </c>
    </row>
    <row r="24" spans="1:6" ht="45.75">
      <c r="A24" s="585" t="s">
        <v>30</v>
      </c>
      <c r="B24" s="620">
        <f>LSUBR!B24+LSUA!B24+LSUE!B24+LSUS!B24+UNO!B24+'LSUHSC S'!B24+'EA CONWAY'!B24+'LSU AG'!B24+'LSU LAW'!B24+'LSU HSC NO'!B24+LSUBOS!B24+PENNINGTON!B24+'HP Long'!B24</f>
        <v>0</v>
      </c>
      <c r="C24" s="620">
        <f>LSUBR!C24+LSUA!C24+LSUE!C24+LSUS!C24+UNO!C24+'LSUHSC S'!C24+'EA CONWAY'!C24+'LSU AG'!C24+'LSU LAW'!C24+'LSU HSC NO'!C24+LSUBOS!C24+PENNINGTON!C24+'HP Long'!C24</f>
        <v>0</v>
      </c>
      <c r="D24" s="620">
        <f>LSUBR!D24+LSUA!D24+LSUE!D24+LSUS!D24+UNO!D24+'LSUHSC S'!D24+'EA CONWAY'!D24+'LSU AG'!D24+'LSU LAW'!D24+'LSU HSC NO'!D24+LSUBOS!D24+PENNINGTON!D24+'HP Long'!D24</f>
        <v>0</v>
      </c>
      <c r="E24" s="620">
        <f>LSUBR!E24+LSUA!E24+LSUE!E24+LSUS!E24+UNO!E24+'LSUHSC S'!E24+'EA CONWAY'!E24+'LSU AG'!E24+'LSU LAW'!E24+'LSU HSC NO'!E24+LSUBOS!E24+PENNINGTON!E24</f>
        <v>0</v>
      </c>
      <c r="F24" s="587">
        <f t="shared" si="1"/>
        <v>0</v>
      </c>
    </row>
    <row r="25" spans="1:6" ht="45.75">
      <c r="A25" s="591" t="s">
        <v>31</v>
      </c>
      <c r="B25" s="620">
        <f>LSUBR!B25+LSUA!B25+LSUE!B25+LSUS!B25+UNO!B25+'LSUHSC S'!B25+'EA CONWAY'!B25+'LSU AG'!B25+'LSU LAW'!B25+'LSU HSC NO'!B25+LSUBOS!B25+PENNINGTON!B25+'HP Long'!B25</f>
        <v>0</v>
      </c>
      <c r="C25" s="620">
        <f>LSUBR!C25+LSUA!C25+LSUE!C25+LSUS!C25+UNO!C25+'LSUHSC S'!C25+'EA CONWAY'!C25+'LSU AG'!C25+'LSU LAW'!C25+'LSU HSC NO'!C25+LSUBOS!C25+PENNINGTON!C25+'HP Long'!C25</f>
        <v>0</v>
      </c>
      <c r="D25" s="620">
        <f>LSUBR!D25+LSUA!D25+LSUE!D25+LSUS!D25+UNO!D25+'LSUHSC S'!D25+'EA CONWAY'!D25+'LSU AG'!D25+'LSU LAW'!D25+'LSU HSC NO'!D25+LSUBOS!D25+PENNINGTON!D25+'HP Long'!D25</f>
        <v>0</v>
      </c>
      <c r="E25" s="620">
        <f>LSUBR!E25+LSUA!E25+LSUE!E25+LSUS!E25+UNO!E25+'LSUHSC S'!E25+'EA CONWAY'!E25+'LSU AG'!E25+'LSU LAW'!E25+'LSU HSC NO'!E25+LSUBOS!E25+PENNINGTON!E25</f>
        <v>0</v>
      </c>
      <c r="F25" s="587">
        <f t="shared" si="1"/>
        <v>0</v>
      </c>
    </row>
    <row r="26" spans="1:6" ht="45.75">
      <c r="A26" s="597" t="s">
        <v>32</v>
      </c>
      <c r="B26" s="620">
        <f>LSUBR!B26+LSUA!B26+LSUE!B26+LSUS!B26+UNO!B26+'LSUHSC S'!B26+'EA CONWAY'!B26+'LSU AG'!B26+'LSU LAW'!B26+'LSU HSC NO'!B26+LSUBOS!B26+PENNINGTON!B26+'HP Long'!B26</f>
        <v>18506203</v>
      </c>
      <c r="C26" s="620">
        <f>LSUBR!C26+LSUA!C26+LSUE!C26+LSUS!C26+UNO!C26+'LSUHSC S'!C26+'EA CONWAY'!C26+'LSU AG'!C26+'LSU LAW'!C26+'LSU HSC NO'!C26+LSUBOS!C26+PENNINGTON!C26+'HP Long'!C26</f>
        <v>26888968</v>
      </c>
      <c r="D26" s="620">
        <f>LSUBR!D26+LSUA!D26+LSUE!D26+LSUS!D26+UNO!D26+'LSUHSC S'!D26+'EA CONWAY'!D26+'LSU AG'!D26+'LSU LAW'!D26+'LSU HSC NO'!D26+LSUBOS!D26+PENNINGTON!D26+'HP Long'!D26</f>
        <v>27651406</v>
      </c>
      <c r="E26" s="620">
        <f>LSUBR!E26+LSUA!E26+LSUE!E26+LSUS!E26+UNO!E26+'LSUHSC S'!E26+'EA CONWAY'!E26+'LSU AG'!E26+'LSU LAW'!E26+'LSU HSC NO'!E26+LSUBOS!E26+PENNINGTON!E26</f>
        <v>762438</v>
      </c>
      <c r="F26" s="587">
        <f t="shared" si="1"/>
        <v>0.028355048806633264</v>
      </c>
    </row>
    <row r="27" spans="1:6" ht="47.25">
      <c r="A27" s="598" t="s">
        <v>33</v>
      </c>
      <c r="B27" s="621">
        <f>SUM(B20:B26)</f>
        <v>329105602</v>
      </c>
      <c r="C27" s="621">
        <f>SUM(C20:C26)</f>
        <v>346398067</v>
      </c>
      <c r="D27" s="621">
        <f>SUM(D20:D26)</f>
        <v>362077518</v>
      </c>
      <c r="E27" s="621">
        <f>SUM(E20:E26)</f>
        <v>15679451</v>
      </c>
      <c r="F27" s="593">
        <f t="shared" si="1"/>
        <v>0.04526425662762142</v>
      </c>
    </row>
    <row r="28" spans="1:6" ht="49.5">
      <c r="A28" s="599" t="s">
        <v>34</v>
      </c>
      <c r="B28" s="623"/>
      <c r="C28" s="623"/>
      <c r="D28" s="623"/>
      <c r="E28" s="623"/>
      <c r="F28" s="570"/>
    </row>
    <row r="29" spans="1:6" ht="45.75">
      <c r="A29" s="600" t="s">
        <v>35</v>
      </c>
      <c r="B29" s="620">
        <f>LSUBR!B29+LSUA!B29+LSUE!B29+LSUS!B29+UNO!B29+'LSUHSC S'!B29+'EA CONWAY'!B29+'LSU AG'!B29+'LSU LAW'!B29+'LSU HSC NO'!B29+LSUBOS!B29+PENNINGTON!B29+'HP Long'!B29</f>
        <v>0</v>
      </c>
      <c r="C29" s="620">
        <f>LSUBR!C29+LSUA!C29+LSUE!C29+LSUS!C29+UNO!C29+'LSUHSC S'!C29+'EA CONWAY'!C29+'LSU AG'!C29+'LSU LAW'!C29+'LSU HSC NO'!C29+LSUBOS!C29+PENNINGTON!C29+'HP Long'!C29</f>
        <v>0</v>
      </c>
      <c r="D29" s="620">
        <f>LSUBR!D29+LSUA!D29+LSUE!D29+LSUS!D29+UNO!D29+'LSUHSC S'!D29+'EA CONWAY'!D29+'LSU AG'!D29+'LSU LAW'!D29+'LSU HSC NO'!D29+LSUBOS!D29+PENNINGTON!D29+'HP Long'!D29</f>
        <v>0</v>
      </c>
      <c r="E29" s="620">
        <f>LSUBR!E29+LSUA!E29+LSUE!E29+LSUS!E29+UNO!E29+'LSUHSC S'!E29+'EA CONWAY'!E29+'LSU AG'!E29+'LSU LAW'!E29+'LSU HSC NO'!E29+LSUBOS!E29+PENNINGTON!E29</f>
        <v>0</v>
      </c>
      <c r="F29" s="587">
        <f t="shared" si="1"/>
        <v>0</v>
      </c>
    </row>
    <row r="30" spans="1:6" ht="48">
      <c r="A30" s="584" t="s">
        <v>36</v>
      </c>
      <c r="B30" s="620">
        <f>LSUBR!B30+LSUA!B30+LSUE!B30+LSUS!B30+UNO!B30+'LSUHSC S'!B30+'EA CONWAY'!B30+'LSU AG'!B30+'LSU LAW'!B30+'LSU HSC NO'!B30+LSUBOS!B30+PENNINGTON!B30+'HP Long'!B30</f>
        <v>58355959</v>
      </c>
      <c r="C30" s="620">
        <f>LSUBR!C30+LSUA!C30+LSUE!C30+LSUS!C30+UNO!C30+'LSUHSC S'!C30+'EA CONWAY'!C30+'LSU AG'!C30+'LSU LAW'!C30+'LSU HSC NO'!C30+LSUBOS!C30+PENNINGTON!C30+'HP Long'!C30</f>
        <v>61393970</v>
      </c>
      <c r="D30" s="620">
        <f>LSUBR!D30+LSUA!D30+LSUE!D30+LSUS!D30+UNO!D30+'LSUHSC S'!D30+'EA CONWAY'!D30+'LSU AG'!D30+'LSU LAW'!D30+'LSU HSC NO'!D30+LSUBOS!D30+PENNINGTON!D30+'HP Long'!D30</f>
        <v>60939879</v>
      </c>
      <c r="E30" s="785">
        <f>D30-C30</f>
        <v>-454091</v>
      </c>
      <c r="F30" s="587">
        <f t="shared" si="1"/>
        <v>-0.007396345276254329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f>LSUBR!B32+LSUA!B32+LSUE!B32+LSUS!B32+UNO!B32+'LSUHSC S'!B32+'EA CONWAY'!B32+'LSU AG'!B32+'LSU LAW'!B32+'LSU HSC NO'!B32+LSUBOS!B32+PENNINGTON!B32+'HP Long'!B32</f>
        <v>0</v>
      </c>
      <c r="C32" s="620">
        <f>LSUBR!C32+LSUA!C32+LSUE!C32+LSUS!C32+UNO!C32+'LSUHSC S'!C32+'EA CONWAY'!C32+'LSU AG'!C32+'LSU LAW'!C32+'LSU HSC NO'!C32+LSUBOS!C32+PENNINGTON!C32+'HP Long'!C32</f>
        <v>0</v>
      </c>
      <c r="D32" s="620">
        <f>LSUBR!D32+LSUA!D32+LSUE!D32+LSUS!D32+UNO!D32+'LSUHSC S'!D32+'EA CONWAY'!D32+'LSU AG'!D32+'LSU LAW'!D32+'LSU HSC NO'!D32+LSUBOS!D32+PENNINGTON!D32+'HP Long'!D32</f>
        <v>0</v>
      </c>
      <c r="E32" s="620">
        <f>LSUBR!E32+LSUA!E32+LSUE!E32+LSUS!E32+UNO!E32+'LSUHSC S'!E32+'EA CONWAY'!E32+'LSU AG'!E32+'LSU LAW'!E32+'LSU HSC NO'!E32+LSUBOS!E32+PENNINGTON!E32</f>
        <v>0</v>
      </c>
      <c r="F32" s="606">
        <f t="shared" si="1"/>
        <v>0</v>
      </c>
    </row>
    <row r="33" spans="1:6" ht="45.75">
      <c r="A33" s="584" t="s">
        <v>39</v>
      </c>
      <c r="B33" s="620">
        <f>LSUBR!B33+LSUA!B33+LSUE!B33+LSUS!B33+UNO!B33+'LSUHSC S'!B33+'EA CONWAY'!B33+'LSU AG'!B33+'LSU LAW'!B33+'LSU HSC NO'!B33+LSUBOS!B33+PENNINGTON!B33+'HP Long'!B33</f>
        <v>12014105</v>
      </c>
      <c r="C33" s="620">
        <f>LSUBR!C33+LSUA!C33+LSUE!C33+LSUS!C33+UNO!C33+'LSUHSC S'!C33+'EA CONWAY'!C33+'LSU AG'!C33+'LSU LAW'!C33+'LSU HSC NO'!C33+LSUBOS!C33+PENNINGTON!C33+'HP Long'!C33</f>
        <v>12018275</v>
      </c>
      <c r="D33" s="620">
        <f>LSUBR!D33+LSUA!D33+LSUE!D33+LSUS!D33+UNO!D33+'LSUHSC S'!D33+'EA CONWAY'!D33+'LSU AG'!D33+'LSU LAW'!D33+'LSU HSC NO'!D33+LSUBOS!D33+PENNINGTON!D33+'HP Long'!D33</f>
        <v>13018275</v>
      </c>
      <c r="E33" s="620">
        <f>LSUBR!E33+LSUA!E33+LSUE!E33+LSUS!E33+UNO!E33+'LSUHSC S'!E33+'EA CONWAY'!E33+'LSU AG'!E33+'LSU LAW'!E33+'LSU HSC NO'!E33+LSUBOS!E33+PENNINGTON!E33</f>
        <v>1000000</v>
      </c>
      <c r="F33" s="587">
        <f t="shared" si="1"/>
        <v>0.08320661659015124</v>
      </c>
    </row>
    <row r="34" spans="1:6" ht="47.25">
      <c r="A34" s="592" t="s">
        <v>40</v>
      </c>
      <c r="B34" s="621">
        <f>B33+B30+B29+B32</f>
        <v>70370064</v>
      </c>
      <c r="C34" s="621">
        <f>C33+C30+C29+C32</f>
        <v>73412245</v>
      </c>
      <c r="D34" s="621">
        <f>D33+D30+D29+D32</f>
        <v>73958154</v>
      </c>
      <c r="E34" s="621">
        <f>E33+E30+E29+E32</f>
        <v>545909</v>
      </c>
      <c r="F34" s="607">
        <f t="shared" si="1"/>
        <v>0.007436211765489531</v>
      </c>
    </row>
    <row r="35" spans="1:6" s="788" customFormat="1" ht="47.25">
      <c r="A35" s="592" t="s">
        <v>205</v>
      </c>
      <c r="B35" s="787">
        <f>LSUBR!B35</f>
        <v>64950</v>
      </c>
      <c r="C35" s="787">
        <f>LSUBR!C35</f>
        <v>269739</v>
      </c>
      <c r="D35" s="787">
        <f>LSUBR!D35</f>
        <v>0</v>
      </c>
      <c r="E35" s="785">
        <f>D35-C35</f>
        <v>-269739</v>
      </c>
      <c r="F35" s="786"/>
    </row>
    <row r="36" spans="1:6" ht="48" thickBot="1">
      <c r="A36" s="602" t="s">
        <v>41</v>
      </c>
      <c r="B36" s="627">
        <f>B34+B27+B12+B35</f>
        <v>772764616</v>
      </c>
      <c r="C36" s="627">
        <f>C34+C27+C12+C35</f>
        <v>798905643</v>
      </c>
      <c r="D36" s="627">
        <f>D34+D27+D12+D35</f>
        <v>827944276</v>
      </c>
      <c r="E36" s="627">
        <f>E34+E27+E12+E35</f>
        <v>29038633</v>
      </c>
      <c r="F36" s="608">
        <f t="shared" si="1"/>
        <v>0.0363480133785962</v>
      </c>
    </row>
    <row r="37" spans="2:5" ht="37.5" customHeight="1" thickTop="1">
      <c r="B37" s="628"/>
      <c r="C37" s="628"/>
      <c r="D37" s="628"/>
      <c r="E37" s="628"/>
    </row>
    <row r="38" spans="1:6" s="574" customFormat="1" ht="45.75">
      <c r="A38" s="572"/>
      <c r="B38" s="629"/>
      <c r="C38" s="629"/>
      <c r="D38" s="629"/>
      <c r="E38" s="629"/>
      <c r="F38" s="573"/>
    </row>
    <row r="39" spans="1:6" s="574" customFormat="1" ht="45.75">
      <c r="A39" s="575"/>
      <c r="B39" s="630"/>
      <c r="C39" s="630"/>
      <c r="D39" s="630"/>
      <c r="E39" s="630"/>
      <c r="F39" s="576"/>
    </row>
    <row r="40" spans="1:6" s="574" customFormat="1" ht="45.75">
      <c r="A40" s="577"/>
      <c r="B40" s="630"/>
      <c r="C40" s="630"/>
      <c r="D40" s="630"/>
      <c r="E40" s="630"/>
      <c r="F40" s="57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35" zoomScaleNormal="35" zoomScalePageLayoutView="0" workbookViewId="0" topLeftCell="B13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565"/>
      <c r="D1" s="613" t="s">
        <v>3</v>
      </c>
      <c r="E1" s="632" t="s">
        <v>69</v>
      </c>
      <c r="F1" s="565"/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6334247</v>
      </c>
      <c r="C10" s="620">
        <v>6044444</v>
      </c>
      <c r="D10" s="620">
        <v>6099986</v>
      </c>
      <c r="E10" s="620">
        <f>D10-C10</f>
        <v>55542</v>
      </c>
      <c r="F10" s="587">
        <f t="shared" si="0"/>
        <v>0.00918893449918636</v>
      </c>
    </row>
    <row r="11" spans="1:6" ht="45.75">
      <c r="A11" s="586" t="s">
        <v>17</v>
      </c>
      <c r="B11" s="620">
        <v>5089398</v>
      </c>
      <c r="C11" s="620">
        <v>5139402</v>
      </c>
      <c r="D11" s="620">
        <v>4634402</v>
      </c>
      <c r="E11" s="620">
        <f>D11-C11</f>
        <v>-505000</v>
      </c>
      <c r="F11" s="587">
        <f t="shared" si="0"/>
        <v>-0.09826045909621392</v>
      </c>
    </row>
    <row r="12" spans="1:6" ht="47.25">
      <c r="A12" s="589" t="s">
        <v>18</v>
      </c>
      <c r="B12" s="621">
        <f>B10+B9+B8+B7+B11</f>
        <v>11423645</v>
      </c>
      <c r="C12" s="621">
        <f>C10+C9+C8+C7+C11</f>
        <v>11183846</v>
      </c>
      <c r="D12" s="621">
        <f>D10+D9+D8+D7+D11</f>
        <v>10734388</v>
      </c>
      <c r="E12" s="621">
        <f>E10+E9+E8+E7+E11</f>
        <v>-449458</v>
      </c>
      <c r="F12" s="593">
        <f t="shared" si="0"/>
        <v>-0.04018814279095045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89807918</v>
      </c>
      <c r="C15" s="620">
        <v>93145396</v>
      </c>
      <c r="D15" s="620">
        <v>98084167</v>
      </c>
      <c r="E15" s="620">
        <f>D15-C15</f>
        <v>4938771</v>
      </c>
      <c r="F15" s="587">
        <f aca="true" t="shared" si="1" ref="F15:F27">IF(ISERROR(E15/C15),0,(E15/C15))</f>
        <v>0.053022169769936886</v>
      </c>
    </row>
    <row r="16" spans="1:6" ht="45.75">
      <c r="A16" s="604" t="s">
        <v>22</v>
      </c>
      <c r="B16" s="620">
        <v>32310426</v>
      </c>
      <c r="C16" s="620">
        <v>32054438</v>
      </c>
      <c r="D16" s="620">
        <v>33514038</v>
      </c>
      <c r="E16" s="620">
        <f>D16-C16</f>
        <v>1459600</v>
      </c>
      <c r="F16" s="587">
        <f t="shared" si="1"/>
        <v>0.045535036365323266</v>
      </c>
    </row>
    <row r="17" spans="1:6" ht="45.75">
      <c r="A17" s="605" t="s">
        <v>23</v>
      </c>
      <c r="B17" s="620">
        <v>13698244</v>
      </c>
      <c r="C17" s="620">
        <v>14782480</v>
      </c>
      <c r="D17" s="620">
        <v>14684440</v>
      </c>
      <c r="E17" s="620">
        <f>D17-C17</f>
        <v>-98040</v>
      </c>
      <c r="F17" s="587">
        <f t="shared" si="1"/>
        <v>-0.0066321753859974785</v>
      </c>
    </row>
    <row r="18" spans="1:6" ht="45.75">
      <c r="A18" s="605" t="s">
        <v>24</v>
      </c>
      <c r="B18" s="620">
        <v>4473866</v>
      </c>
      <c r="C18" s="620">
        <v>4718064</v>
      </c>
      <c r="D18" s="620">
        <v>4709792</v>
      </c>
      <c r="E18" s="620">
        <f>D18-C18</f>
        <v>-8272</v>
      </c>
      <c r="F18" s="587">
        <f t="shared" si="1"/>
        <v>-0.0017532615072623008</v>
      </c>
    </row>
    <row r="19" spans="1:6" ht="45.75">
      <c r="A19" s="583" t="s">
        <v>25</v>
      </c>
      <c r="B19" s="620">
        <v>11012272</v>
      </c>
      <c r="C19" s="620">
        <v>10592694</v>
      </c>
      <c r="D19" s="620">
        <v>10781430</v>
      </c>
      <c r="E19" s="620">
        <f>D19-C19</f>
        <v>188736</v>
      </c>
      <c r="F19" s="587">
        <f t="shared" si="1"/>
        <v>0.017817563690596557</v>
      </c>
    </row>
    <row r="20" spans="1:6" ht="47.25">
      <c r="A20" s="595" t="s">
        <v>26</v>
      </c>
      <c r="B20" s="621">
        <f>B19+B18+B17+B16+B15</f>
        <v>151302726</v>
      </c>
      <c r="C20" s="621">
        <f>C19+C18+C17+C16+C15</f>
        <v>155293072</v>
      </c>
      <c r="D20" s="621">
        <f>D19+D18+D17+D16+D15</f>
        <v>161773867</v>
      </c>
      <c r="E20" s="621">
        <f>E19+E18+E17+E16+E15</f>
        <v>6480795</v>
      </c>
      <c r="F20" s="593">
        <f t="shared" si="1"/>
        <v>0.04173267304545305</v>
      </c>
    </row>
    <row r="21" spans="1:6" ht="45.75">
      <c r="A21" s="596" t="s">
        <v>27</v>
      </c>
      <c r="B21" s="620">
        <v>0</v>
      </c>
      <c r="C21" s="620"/>
      <c r="D21" s="620"/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9393874</v>
      </c>
      <c r="C22" s="620">
        <v>8543730</v>
      </c>
      <c r="D22" s="620">
        <v>10012296</v>
      </c>
      <c r="E22" s="620">
        <f t="shared" si="2"/>
        <v>1468566</v>
      </c>
      <c r="F22" s="587">
        <f t="shared" si="1"/>
        <v>0.17188815657798176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12697701</v>
      </c>
      <c r="C26" s="620">
        <v>19011908</v>
      </c>
      <c r="D26" s="620">
        <v>18751071</v>
      </c>
      <c r="E26" s="620">
        <f t="shared" si="2"/>
        <v>-260837</v>
      </c>
      <c r="F26" s="587">
        <f t="shared" si="1"/>
        <v>-0.013719664538667029</v>
      </c>
    </row>
    <row r="27" spans="1:6" ht="47.25">
      <c r="A27" s="598" t="s">
        <v>33</v>
      </c>
      <c r="B27" s="621">
        <f>B26+B25+B24+B23+B22+B21+B20-1</f>
        <v>173394300</v>
      </c>
      <c r="C27" s="621">
        <f>C26+C25+C24+C23+C22+C21+C20</f>
        <v>182848710</v>
      </c>
      <c r="D27" s="621">
        <f>D26+D25+D24+D23+D22+D21+D20</f>
        <v>190537234</v>
      </c>
      <c r="E27" s="621">
        <f>E26+E25+E24+E23+E22+E21+E20</f>
        <v>7688524</v>
      </c>
      <c r="F27" s="593">
        <f t="shared" si="1"/>
        <v>0.04204855478608517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>
      <c r="A35" s="592" t="s">
        <v>205</v>
      </c>
      <c r="B35" s="621">
        <v>64950</v>
      </c>
      <c r="C35" s="621">
        <v>269739</v>
      </c>
      <c r="D35" s="621">
        <f>D34+D33+D31+D30</f>
        <v>0</v>
      </c>
      <c r="E35" s="620">
        <f>D35-C35</f>
        <v>-269739</v>
      </c>
      <c r="F35" s="607">
        <f>IF(ISERROR(E35/C35),0,(E35/C35))</f>
        <v>-1</v>
      </c>
    </row>
    <row r="36" spans="1:6" ht="48" thickBot="1">
      <c r="A36" s="602" t="s">
        <v>41</v>
      </c>
      <c r="B36" s="626">
        <f>B34+B27+B12+B35</f>
        <v>184882895</v>
      </c>
      <c r="C36" s="627">
        <f>C34+C27+C12+C35</f>
        <v>194302295</v>
      </c>
      <c r="D36" s="627">
        <f>D34+D27+D12</f>
        <v>201271622</v>
      </c>
      <c r="E36" s="627">
        <f>E34+E27+E12+E35</f>
        <v>6969327</v>
      </c>
      <c r="F36" s="608">
        <f>IF(ISERROR(E36/C36),0,(E36/C36))</f>
        <v>0.035868474945187856</v>
      </c>
    </row>
    <row r="37" spans="2:5" ht="37.5" customHeight="1" thickTop="1">
      <c r="B37" s="628"/>
      <c r="C37" s="628"/>
      <c r="D37" s="628"/>
      <c r="E37" s="628"/>
    </row>
    <row r="38" spans="1:6" s="574" customFormat="1" ht="45.75">
      <c r="A38" s="572"/>
      <c r="B38" s="629"/>
      <c r="C38" s="629"/>
      <c r="D38" s="629"/>
      <c r="E38" s="629"/>
      <c r="F38" s="573"/>
    </row>
    <row r="39" spans="1:6" s="574" customFormat="1" ht="45.75">
      <c r="A39" s="575"/>
      <c r="B39" s="630"/>
      <c r="C39" s="630"/>
      <c r="D39" s="630"/>
      <c r="E39" s="630"/>
      <c r="F39" s="576"/>
    </row>
    <row r="40" spans="1:6" s="574" customFormat="1" ht="45.75">
      <c r="A40" s="577"/>
      <c r="B40" s="630"/>
      <c r="C40" s="630"/>
      <c r="D40" s="630"/>
      <c r="E40" s="630"/>
      <c r="F40" s="576"/>
    </row>
    <row r="42" ht="15.75">
      <c r="A42" s="565" t="s">
        <v>0</v>
      </c>
    </row>
    <row r="43" ht="15.75">
      <c r="A43" s="565" t="s">
        <v>0</v>
      </c>
    </row>
    <row r="45" ht="15.75">
      <c r="A45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A10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5" ht="57">
      <c r="A1" s="562" t="s">
        <v>2</v>
      </c>
      <c r="B1" s="610"/>
      <c r="C1" s="565"/>
      <c r="D1" s="613" t="s">
        <v>3</v>
      </c>
      <c r="E1" s="632" t="s">
        <v>193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200000</v>
      </c>
      <c r="C11" s="620">
        <v>400000</v>
      </c>
      <c r="D11" s="620">
        <v>0</v>
      </c>
      <c r="E11" s="620">
        <f>D11-C11</f>
        <v>-400000</v>
      </c>
      <c r="F11" s="587">
        <f t="shared" si="0"/>
        <v>-1</v>
      </c>
    </row>
    <row r="12" spans="1:6" ht="47.25">
      <c r="A12" s="589" t="s">
        <v>18</v>
      </c>
      <c r="B12" s="621">
        <f>B10+B9+B8+B7+B11</f>
        <v>200000</v>
      </c>
      <c r="C12" s="621">
        <f>C10+C9+C8+C7+C11</f>
        <v>400000</v>
      </c>
      <c r="D12" s="621">
        <f>D10+D9+D8+D7+D11</f>
        <v>0</v>
      </c>
      <c r="E12" s="621">
        <f>E10+E9+E8+E7+E11</f>
        <v>-400000</v>
      </c>
      <c r="F12" s="593">
        <f t="shared" si="0"/>
        <v>-1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5451473</v>
      </c>
      <c r="C15" s="620">
        <v>6410334</v>
      </c>
      <c r="D15" s="620">
        <v>6742984</v>
      </c>
      <c r="E15" s="620">
        <f>D15-C15</f>
        <v>332650</v>
      </c>
      <c r="F15" s="587">
        <f aca="true" t="shared" si="1" ref="F15:F27">IF(ISERROR(E15/C15),0,(E15/C15))</f>
        <v>0.05189277188988904</v>
      </c>
    </row>
    <row r="16" spans="1:6" ht="45.75">
      <c r="A16" s="604" t="s">
        <v>22</v>
      </c>
      <c r="B16" s="620">
        <v>44382</v>
      </c>
      <c r="C16" s="620">
        <v>50535</v>
      </c>
      <c r="D16" s="620">
        <v>44490</v>
      </c>
      <c r="E16" s="620">
        <f>D16-C16</f>
        <v>-6045</v>
      </c>
      <c r="F16" s="587">
        <f t="shared" si="1"/>
        <v>-0.11962006530127635</v>
      </c>
    </row>
    <row r="17" spans="1:6" ht="45.75">
      <c r="A17" s="605" t="s">
        <v>23</v>
      </c>
      <c r="B17" s="620">
        <v>530011</v>
      </c>
      <c r="C17" s="620">
        <v>643000</v>
      </c>
      <c r="D17" s="620">
        <v>535000</v>
      </c>
      <c r="E17" s="620">
        <f>D17-C17</f>
        <v>-108000</v>
      </c>
      <c r="F17" s="587">
        <f t="shared" si="1"/>
        <v>-0.16796267496111975</v>
      </c>
    </row>
    <row r="18" spans="1:6" ht="45.75">
      <c r="A18" s="605" t="s">
        <v>24</v>
      </c>
      <c r="B18" s="620">
        <v>238479</v>
      </c>
      <c r="C18" s="620">
        <v>293609</v>
      </c>
      <c r="D18" s="620">
        <v>240720</v>
      </c>
      <c r="E18" s="620">
        <f>D18-C18</f>
        <v>-52889</v>
      </c>
      <c r="F18" s="587">
        <f t="shared" si="1"/>
        <v>-0.180134123953966</v>
      </c>
    </row>
    <row r="19" spans="1:6" ht="45.75">
      <c r="A19" s="583" t="s">
        <v>25</v>
      </c>
      <c r="B19" s="620">
        <v>272131</v>
      </c>
      <c r="C19" s="620">
        <v>211000</v>
      </c>
      <c r="D19" s="620">
        <v>198470</v>
      </c>
      <c r="E19" s="620">
        <f>D19-C19</f>
        <v>-12530</v>
      </c>
      <c r="F19" s="587">
        <f t="shared" si="1"/>
        <v>-0.05938388625592417</v>
      </c>
    </row>
    <row r="20" spans="1:6" ht="47.25">
      <c r="A20" s="595" t="s">
        <v>26</v>
      </c>
      <c r="B20" s="621">
        <f>B19+B18+B17+B16+B15</f>
        <v>6536476</v>
      </c>
      <c r="C20" s="621">
        <f>C19+C18+C17+C16+C15</f>
        <v>7608478</v>
      </c>
      <c r="D20" s="621">
        <f>D19+D18+D17+D16+D15</f>
        <v>7761664</v>
      </c>
      <c r="E20" s="621">
        <f>E19+E18+E17+E16+E15</f>
        <v>153186</v>
      </c>
      <c r="F20" s="593">
        <f t="shared" si="1"/>
        <v>0.020133593078668296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0</v>
      </c>
      <c r="D22" s="620">
        <v>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147590</v>
      </c>
      <c r="C26" s="620">
        <v>138120</v>
      </c>
      <c r="D26" s="620">
        <v>289040</v>
      </c>
      <c r="E26" s="620">
        <f t="shared" si="2"/>
        <v>150920</v>
      </c>
      <c r="F26" s="587">
        <f t="shared" si="1"/>
        <v>1.092673037938025</v>
      </c>
    </row>
    <row r="27" spans="1:6" ht="47.25">
      <c r="A27" s="598" t="s">
        <v>33</v>
      </c>
      <c r="B27" s="621">
        <f>B26+B25+B24+B23+B22+B21+B20</f>
        <v>6684066</v>
      </c>
      <c r="C27" s="621">
        <f>C26+C25+C24+C23+C22+C21+C20</f>
        <v>7746598</v>
      </c>
      <c r="D27" s="621">
        <f>D26+D25+D24+D23+D22+D21+D20</f>
        <v>8050704</v>
      </c>
      <c r="E27" s="621">
        <f>E26+E25+E24+E23+E22+E21+E20</f>
        <v>304106</v>
      </c>
      <c r="F27" s="593">
        <f t="shared" si="1"/>
        <v>0.03925671630307911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6884066</v>
      </c>
      <c r="C35" s="627">
        <f>C34+C27+C12</f>
        <v>8146598</v>
      </c>
      <c r="D35" s="627">
        <f>D34+D27+D12</f>
        <v>8050704</v>
      </c>
      <c r="E35" s="627">
        <f>E34+E27+E12</f>
        <v>-95894</v>
      </c>
      <c r="F35" s="608">
        <f>IF(ISERROR(E35/C35),0,(E35/C35))</f>
        <v>-0.011771048479377526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B10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565"/>
      <c r="D1" s="565"/>
      <c r="E1" s="613" t="s">
        <v>3</v>
      </c>
      <c r="F1" s="632" t="s">
        <v>195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200000</v>
      </c>
      <c r="D11" s="620">
        <v>0</v>
      </c>
      <c r="E11" s="620">
        <f>D11-C11</f>
        <v>-200000</v>
      </c>
      <c r="F11" s="587">
        <f t="shared" si="0"/>
        <v>-1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200000</v>
      </c>
      <c r="D12" s="621">
        <f>D10+D9+D8+D7+D11</f>
        <v>0</v>
      </c>
      <c r="E12" s="621">
        <f>E10+E9+E8+E7+E11</f>
        <v>-200000</v>
      </c>
      <c r="F12" s="593">
        <f t="shared" si="0"/>
        <v>-1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3415066</v>
      </c>
      <c r="C15" s="620">
        <v>3902338</v>
      </c>
      <c r="D15" s="620">
        <v>3988739</v>
      </c>
      <c r="E15" s="620">
        <f>D15-C15</f>
        <v>86401</v>
      </c>
      <c r="F15" s="587">
        <f aca="true" t="shared" si="1" ref="F15:F27">IF(ISERROR(E15/C15),0,(E15/C15))</f>
        <v>0.02214082942072163</v>
      </c>
    </row>
    <row r="16" spans="1:6" ht="45.75">
      <c r="A16" s="604" t="s">
        <v>22</v>
      </c>
      <c r="B16" s="620">
        <v>78975</v>
      </c>
      <c r="C16" s="620">
        <v>60000</v>
      </c>
      <c r="D16" s="620">
        <v>80000</v>
      </c>
      <c r="E16" s="620">
        <f>D16-C16</f>
        <v>20000</v>
      </c>
      <c r="F16" s="587">
        <f t="shared" si="1"/>
        <v>0.3333333333333333</v>
      </c>
    </row>
    <row r="17" spans="1:6" ht="45.75">
      <c r="A17" s="605" t="s">
        <v>23</v>
      </c>
      <c r="B17" s="620">
        <v>568870</v>
      </c>
      <c r="C17" s="620">
        <v>600000</v>
      </c>
      <c r="D17" s="620">
        <v>600000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181826</v>
      </c>
      <c r="C18" s="620">
        <v>190000</v>
      </c>
      <c r="D18" s="620">
        <v>190000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79352</v>
      </c>
      <c r="C19" s="620">
        <v>92750</v>
      </c>
      <c r="D19" s="620">
        <v>92750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4324089</v>
      </c>
      <c r="C20" s="621">
        <f>C19+C18+C17+C16+C15</f>
        <v>4845088</v>
      </c>
      <c r="D20" s="621">
        <f>D19+D18+D17+D16+D15</f>
        <v>4951489</v>
      </c>
      <c r="E20" s="621">
        <f>E19+E18+E17+E16+E15</f>
        <v>106401</v>
      </c>
      <c r="F20" s="593">
        <f t="shared" si="1"/>
        <v>0.021960591840643556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0</v>
      </c>
      <c r="D22" s="620">
        <v>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110962</v>
      </c>
      <c r="C26" s="620">
        <v>98000</v>
      </c>
      <c r="D26" s="620">
        <v>120000</v>
      </c>
      <c r="E26" s="620">
        <f t="shared" si="2"/>
        <v>22000</v>
      </c>
      <c r="F26" s="587">
        <f t="shared" si="1"/>
        <v>0.22448979591836735</v>
      </c>
    </row>
    <row r="27" spans="1:6" ht="47.25">
      <c r="A27" s="598" t="s">
        <v>33</v>
      </c>
      <c r="B27" s="621">
        <f>B26+B25+B24+B23+B22+B21+B20</f>
        <v>4435051</v>
      </c>
      <c r="C27" s="621">
        <f>C26+C25+C24+C23+C22+C21+C20</f>
        <v>4943088</v>
      </c>
      <c r="D27" s="621">
        <f>D26+D25+D24+D23+D22+D21+D20</f>
        <v>5071489</v>
      </c>
      <c r="E27" s="621">
        <f>E26+E25+E24+E23+E22+E21+E20</f>
        <v>128401</v>
      </c>
      <c r="F27" s="593">
        <f t="shared" si="1"/>
        <v>0.02597586771669855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4435051</v>
      </c>
      <c r="C35" s="627">
        <f>C34+C27+C12</f>
        <v>5143088</v>
      </c>
      <c r="D35" s="627">
        <f>D34+D27+D12</f>
        <v>5071489</v>
      </c>
      <c r="E35" s="627">
        <f>E34+E27+E12</f>
        <v>-71599</v>
      </c>
      <c r="F35" s="608"/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B12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5" ht="57">
      <c r="A1" s="562" t="s">
        <v>2</v>
      </c>
      <c r="B1" s="610"/>
      <c r="C1" s="565"/>
      <c r="D1" s="613" t="s">
        <v>3</v>
      </c>
      <c r="E1" s="632" t="s">
        <v>194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212500</v>
      </c>
      <c r="D11" s="620">
        <v>0</v>
      </c>
      <c r="E11" s="620">
        <f>D11-C11</f>
        <v>-212500</v>
      </c>
      <c r="F11" s="587">
        <f t="shared" si="0"/>
        <v>-1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212500</v>
      </c>
      <c r="D12" s="621">
        <f>D10+D9+D8+D7+D11</f>
        <v>0</v>
      </c>
      <c r="E12" s="621">
        <f>E10+E9+E8+E7+E11</f>
        <v>-212500</v>
      </c>
      <c r="F12" s="593">
        <f t="shared" si="0"/>
        <v>-1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9563300</v>
      </c>
      <c r="C15" s="620">
        <v>10408435</v>
      </c>
      <c r="D15" s="620">
        <v>10131674</v>
      </c>
      <c r="E15" s="620">
        <f>D15-C15</f>
        <v>-276761</v>
      </c>
      <c r="F15" s="587">
        <f aca="true" t="shared" si="1" ref="F15:F27">IF(ISERROR(E15/C15),0,(E15/C15))</f>
        <v>-0.0265900685357597</v>
      </c>
    </row>
    <row r="16" spans="1:6" ht="45.75">
      <c r="A16" s="604" t="s">
        <v>22</v>
      </c>
      <c r="B16" s="620">
        <v>107066</v>
      </c>
      <c r="C16" s="620">
        <v>778575</v>
      </c>
      <c r="D16" s="620">
        <v>900000</v>
      </c>
      <c r="E16" s="620">
        <f>D16-C16</f>
        <v>121425</v>
      </c>
      <c r="F16" s="587">
        <f t="shared" si="1"/>
        <v>0.15595800019265968</v>
      </c>
    </row>
    <row r="17" spans="1:6" ht="45.75">
      <c r="A17" s="605" t="s">
        <v>23</v>
      </c>
      <c r="B17" s="620">
        <v>830504</v>
      </c>
      <c r="C17" s="620">
        <v>875000</v>
      </c>
      <c r="D17" s="620">
        <v>875000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415252</v>
      </c>
      <c r="C18" s="620">
        <v>500000</v>
      </c>
      <c r="D18" s="620">
        <v>500000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425891</v>
      </c>
      <c r="C19" s="620">
        <v>788956</v>
      </c>
      <c r="D19" s="620">
        <v>677200</v>
      </c>
      <c r="E19" s="620">
        <f>D19-C19</f>
        <v>-111756</v>
      </c>
      <c r="F19" s="587">
        <f t="shared" si="1"/>
        <v>-0.14165048494466104</v>
      </c>
    </row>
    <row r="20" spans="1:6" ht="47.25">
      <c r="A20" s="595" t="s">
        <v>26</v>
      </c>
      <c r="B20" s="621">
        <f>B19+B18+B17+B16+B15</f>
        <v>11342013</v>
      </c>
      <c r="C20" s="621">
        <f>C19+C18+C17+C16+C15</f>
        <v>13350966</v>
      </c>
      <c r="D20" s="621">
        <f>D19+D18+D17+D16+D15</f>
        <v>13083874</v>
      </c>
      <c r="E20" s="621">
        <f>E19+E18+E17+E16+E15</f>
        <v>-267092</v>
      </c>
      <c r="F20" s="593">
        <f t="shared" si="1"/>
        <v>-0.02000544380084557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19344</v>
      </c>
      <c r="C22" s="620">
        <v>20000</v>
      </c>
      <c r="D22" s="620">
        <v>19500</v>
      </c>
      <c r="E22" s="620">
        <f t="shared" si="2"/>
        <v>-500</v>
      </c>
      <c r="F22" s="587">
        <f t="shared" si="1"/>
        <v>-0.025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348118</v>
      </c>
      <c r="C26" s="620">
        <v>186700</v>
      </c>
      <c r="D26" s="620">
        <v>173600</v>
      </c>
      <c r="E26" s="620">
        <f t="shared" si="2"/>
        <v>-13100</v>
      </c>
      <c r="F26" s="587">
        <f t="shared" si="1"/>
        <v>-0.07016604177825388</v>
      </c>
    </row>
    <row r="27" spans="1:6" ht="47.25">
      <c r="A27" s="598" t="s">
        <v>33</v>
      </c>
      <c r="B27" s="621">
        <f>B26+B25+B24+B23+B22+B21+B20</f>
        <v>11709475</v>
      </c>
      <c r="C27" s="621">
        <f>C26+C25+C24+C23+C22+C21+C20</f>
        <v>13557666</v>
      </c>
      <c r="D27" s="621">
        <f>D26+D25+D24+D23+D22+D21+D20</f>
        <v>13276974</v>
      </c>
      <c r="E27" s="621">
        <f>E26+E25+E24+E23+E22+E21+E20</f>
        <v>-280692</v>
      </c>
      <c r="F27" s="593">
        <f t="shared" si="1"/>
        <v>-0.020703563577978687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11709475</v>
      </c>
      <c r="C35" s="627">
        <f>C34+C27+C12</f>
        <v>13770166</v>
      </c>
      <c r="D35" s="627">
        <f>D34+D27+D12</f>
        <v>13276974</v>
      </c>
      <c r="E35" s="627">
        <f>E34+E27+E12</f>
        <v>-493192</v>
      </c>
      <c r="F35" s="608">
        <f>IF(ISERROR(E35/C35),0,(E35/C35))</f>
        <v>-0.035815980722382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 t="s">
        <v>42</v>
      </c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 t="s">
        <v>43</v>
      </c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35" zoomScaleNormal="35" zoomScalePageLayoutView="0" workbookViewId="0" topLeftCell="B11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565"/>
      <c r="D1" s="565"/>
      <c r="E1" s="613" t="s">
        <v>3</v>
      </c>
      <c r="F1" s="632" t="s">
        <v>48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30023144</v>
      </c>
      <c r="C15" s="620">
        <v>33688331</v>
      </c>
      <c r="D15" s="620">
        <v>33075339</v>
      </c>
      <c r="E15" s="620">
        <f>D15-C15</f>
        <v>-612992</v>
      </c>
      <c r="F15" s="587">
        <f aca="true" t="shared" si="1" ref="F15:F27">IF(ISERROR(E15/C15),0,(E15/C15))</f>
        <v>-0.01819597414903101</v>
      </c>
    </row>
    <row r="16" spans="1:6" ht="45.75">
      <c r="A16" s="604" t="s">
        <v>22</v>
      </c>
      <c r="B16" s="620">
        <v>5177876</v>
      </c>
      <c r="C16" s="620">
        <v>4566332</v>
      </c>
      <c r="D16" s="620">
        <v>5686000</v>
      </c>
      <c r="E16" s="620">
        <f>D16-C16</f>
        <v>1119668</v>
      </c>
      <c r="F16" s="587">
        <f t="shared" si="1"/>
        <v>0.2452007431785512</v>
      </c>
    </row>
    <row r="17" spans="1:6" ht="45.75">
      <c r="A17" s="605" t="s">
        <v>23</v>
      </c>
      <c r="B17" s="620">
        <v>2368034</v>
      </c>
      <c r="C17" s="620">
        <v>2652360</v>
      </c>
      <c r="D17" s="620">
        <v>2500000</v>
      </c>
      <c r="E17" s="620">
        <f>D17-C17</f>
        <v>-152360</v>
      </c>
      <c r="F17" s="587">
        <f t="shared" si="1"/>
        <v>-0.05744318267505165</v>
      </c>
    </row>
    <row r="18" spans="1:6" ht="45.75">
      <c r="A18" s="605" t="s">
        <v>24</v>
      </c>
      <c r="B18" s="620">
        <v>1433757</v>
      </c>
      <c r="C18" s="620">
        <v>1711804</v>
      </c>
      <c r="D18" s="620">
        <v>1530000</v>
      </c>
      <c r="E18" s="620">
        <f>D18-C18</f>
        <v>-181804</v>
      </c>
      <c r="F18" s="587">
        <f t="shared" si="1"/>
        <v>-0.10620608434143161</v>
      </c>
    </row>
    <row r="19" spans="1:6" ht="45.75">
      <c r="A19" s="583" t="s">
        <v>25</v>
      </c>
      <c r="B19" s="620">
        <v>3725143</v>
      </c>
      <c r="C19" s="620">
        <v>3643100</v>
      </c>
      <c r="D19" s="620">
        <v>3769015</v>
      </c>
      <c r="E19" s="620">
        <f>D19-C19</f>
        <v>125915</v>
      </c>
      <c r="F19" s="587">
        <f t="shared" si="1"/>
        <v>0.03456259778759847</v>
      </c>
    </row>
    <row r="20" spans="1:6" ht="47.25">
      <c r="A20" s="595" t="s">
        <v>26</v>
      </c>
      <c r="B20" s="621">
        <f>B19+B18+B17+B16+B15</f>
        <v>42727954</v>
      </c>
      <c r="C20" s="621">
        <f>C19+C18+C17+C16+C15</f>
        <v>46261927</v>
      </c>
      <c r="D20" s="621">
        <f>D19+D18+D17+D16+D15</f>
        <v>46560354</v>
      </c>
      <c r="E20" s="621">
        <f>E19+E18+E17+E16+E15</f>
        <v>298427</v>
      </c>
      <c r="F20" s="593">
        <f t="shared" si="1"/>
        <v>0.006450812133268897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448086</v>
      </c>
      <c r="C22" s="620">
        <v>342200</v>
      </c>
      <c r="D22" s="620">
        <v>426200</v>
      </c>
      <c r="E22" s="620">
        <f t="shared" si="2"/>
        <v>84000</v>
      </c>
      <c r="F22" s="587">
        <f t="shared" si="1"/>
        <v>0.24547048509643482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3106057</v>
      </c>
      <c r="C26" s="620">
        <v>3033886</v>
      </c>
      <c r="D26" s="620">
        <v>3691465</v>
      </c>
      <c r="E26" s="620">
        <f t="shared" si="2"/>
        <v>657579</v>
      </c>
      <c r="F26" s="587">
        <f t="shared" si="1"/>
        <v>0.21674479528894625</v>
      </c>
    </row>
    <row r="27" spans="1:6" ht="47.25">
      <c r="A27" s="598" t="s">
        <v>33</v>
      </c>
      <c r="B27" s="621">
        <f>B26+B25+B24+B23+B22+B21+B20</f>
        <v>46282097</v>
      </c>
      <c r="C27" s="621">
        <f>C26+C25+C24+C23+C22+C21+C20</f>
        <v>49638013</v>
      </c>
      <c r="D27" s="621">
        <f>D26+D25+D24+D23+D22+D21+D20</f>
        <v>50678019</v>
      </c>
      <c r="E27" s="621">
        <f>E26+E25+E24+E23+E22+E21+E20</f>
        <v>1040006</v>
      </c>
      <c r="F27" s="593">
        <f t="shared" si="1"/>
        <v>0.020951805625257402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46282097</v>
      </c>
      <c r="C35" s="627">
        <f>C34+C27+C12</f>
        <v>49638013</v>
      </c>
      <c r="D35" s="627">
        <f>D34+D27+D12</f>
        <v>50678019</v>
      </c>
      <c r="E35" s="627">
        <f>E34+E27+E12</f>
        <v>1040006</v>
      </c>
      <c r="F35" s="608">
        <f>IF(ISERROR(E35/C35),0,(E35/C35))</f>
        <v>0.020951805625257402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35" zoomScaleNormal="35" zoomScalePageLayoutView="0" workbookViewId="0" topLeftCell="B23">
      <selection activeCell="E37" sqref="A1:E37"/>
    </sheetView>
  </sheetViews>
  <sheetFormatPr defaultColWidth="9.6640625" defaultRowHeight="15"/>
  <cols>
    <col min="1" max="1" width="133.5546875" style="75" customWidth="1"/>
    <col min="2" max="5" width="45.77734375" style="75" customWidth="1"/>
    <col min="6" max="16384" width="9.6640625" style="75" customWidth="1"/>
  </cols>
  <sheetData>
    <row r="1" spans="1:4" s="52" customFormat="1" ht="45">
      <c r="A1" s="9" t="s">
        <v>2</v>
      </c>
      <c r="B1" s="11"/>
      <c r="C1" s="12" t="s">
        <v>3</v>
      </c>
      <c r="D1" s="455" t="s">
        <v>62</v>
      </c>
    </row>
    <row r="2" spans="1:5" s="52" customFormat="1" ht="45">
      <c r="A2" s="9" t="s">
        <v>9</v>
      </c>
      <c r="B2" s="11"/>
      <c r="C2" s="11"/>
      <c r="D2" s="11"/>
      <c r="E2" s="11"/>
    </row>
    <row r="3" spans="1:5" s="52" customFormat="1" ht="45.75" thickBot="1">
      <c r="A3" s="10" t="s">
        <v>10</v>
      </c>
      <c r="B3" s="71"/>
      <c r="C3" s="71"/>
      <c r="D3" s="71"/>
      <c r="E3" s="71"/>
    </row>
    <row r="4" spans="1:5" ht="36" thickTop="1">
      <c r="A4" s="34" t="s">
        <v>11</v>
      </c>
      <c r="B4" s="72" t="s">
        <v>44</v>
      </c>
      <c r="C4" s="72" t="s">
        <v>45</v>
      </c>
      <c r="D4" s="72" t="s">
        <v>45</v>
      </c>
      <c r="E4" s="73" t="s">
        <v>46</v>
      </c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5" ht="35.25">
      <c r="A6" s="36" t="s">
        <v>12</v>
      </c>
      <c r="B6" s="78"/>
      <c r="C6" s="78"/>
      <c r="D6" s="78"/>
      <c r="E6" s="79"/>
    </row>
    <row r="7" spans="1:5" ht="34.5">
      <c r="A7" s="35" t="s">
        <v>13</v>
      </c>
      <c r="B7" s="550">
        <v>0</v>
      </c>
      <c r="C7" s="550">
        <v>0</v>
      </c>
      <c r="D7" s="550">
        <v>0</v>
      </c>
      <c r="E7" s="551">
        <f>D7-C7</f>
        <v>0</v>
      </c>
    </row>
    <row r="8" spans="1:5" ht="34.5">
      <c r="A8" s="37" t="s">
        <v>14</v>
      </c>
      <c r="B8" s="552">
        <v>0</v>
      </c>
      <c r="C8" s="552">
        <v>0</v>
      </c>
      <c r="D8" s="552">
        <v>0</v>
      </c>
      <c r="E8" s="553">
        <f>D8-C8</f>
        <v>0</v>
      </c>
    </row>
    <row r="9" spans="1:5" ht="34.5">
      <c r="A9" s="38" t="s">
        <v>15</v>
      </c>
      <c r="B9" s="552">
        <v>0</v>
      </c>
      <c r="C9" s="552">
        <v>0</v>
      </c>
      <c r="D9" s="552">
        <v>0</v>
      </c>
      <c r="E9" s="553">
        <f>D9-C9</f>
        <v>0</v>
      </c>
    </row>
    <row r="10" spans="1:5" ht="34.5">
      <c r="A10" s="39" t="s">
        <v>16</v>
      </c>
      <c r="B10" s="552">
        <v>0</v>
      </c>
      <c r="C10" s="552">
        <v>0</v>
      </c>
      <c r="D10" s="552">
        <v>0</v>
      </c>
      <c r="E10" s="553">
        <f>D10-C10</f>
        <v>0</v>
      </c>
    </row>
    <row r="11" spans="1:5" ht="34.5">
      <c r="A11" s="39" t="s">
        <v>17</v>
      </c>
      <c r="B11" s="552">
        <v>80000</v>
      </c>
      <c r="C11" s="552">
        <v>850000</v>
      </c>
      <c r="D11" s="552">
        <v>850000</v>
      </c>
      <c r="E11" s="553">
        <f>D11-C11</f>
        <v>0</v>
      </c>
    </row>
    <row r="12" spans="1:5" ht="35.25">
      <c r="A12" s="40" t="s">
        <v>18</v>
      </c>
      <c r="B12" s="552">
        <f>B10+B9+B8+B7+B11</f>
        <v>80000</v>
      </c>
      <c r="C12" s="552">
        <f>C10+C9+C8+C7+C11</f>
        <v>850000</v>
      </c>
      <c r="D12" s="552">
        <f>D10+D9+D8+D7+D11</f>
        <v>850000</v>
      </c>
      <c r="E12" s="552">
        <f>E10+E9+E8+E7+E11</f>
        <v>0</v>
      </c>
    </row>
    <row r="13" spans="1:5" ht="35.25">
      <c r="A13" s="36" t="s">
        <v>19</v>
      </c>
      <c r="B13" s="552"/>
      <c r="C13" s="552"/>
      <c r="D13" s="552"/>
      <c r="E13" s="553"/>
    </row>
    <row r="14" spans="1:5" ht="35.25">
      <c r="A14" s="41" t="s">
        <v>20</v>
      </c>
      <c r="B14" s="550"/>
      <c r="C14" s="550"/>
      <c r="D14" s="550"/>
      <c r="E14" s="551"/>
    </row>
    <row r="15" spans="1:5" ht="34.5">
      <c r="A15" s="43" t="s">
        <v>21</v>
      </c>
      <c r="B15" s="558">
        <v>0</v>
      </c>
      <c r="C15" s="558">
        <v>0</v>
      </c>
      <c r="D15" s="558">
        <v>0</v>
      </c>
      <c r="E15" s="558">
        <f>D15-C15</f>
        <v>0</v>
      </c>
    </row>
    <row r="16" spans="1:5" ht="34.5">
      <c r="A16" s="39" t="s">
        <v>22</v>
      </c>
      <c r="B16" s="559">
        <v>0</v>
      </c>
      <c r="C16" s="559">
        <v>0</v>
      </c>
      <c r="D16" s="559">
        <v>0</v>
      </c>
      <c r="E16" s="559">
        <f>D16-C16</f>
        <v>0</v>
      </c>
    </row>
    <row r="17" spans="1:5" ht="34.5">
      <c r="A17" s="38" t="s">
        <v>23</v>
      </c>
      <c r="B17" s="559">
        <v>0</v>
      </c>
      <c r="C17" s="559">
        <v>0</v>
      </c>
      <c r="D17" s="559">
        <v>0</v>
      </c>
      <c r="E17" s="559">
        <f>D17-C17</f>
        <v>0</v>
      </c>
    </row>
    <row r="18" spans="1:5" ht="34.5">
      <c r="A18" s="38" t="s">
        <v>24</v>
      </c>
      <c r="B18" s="559">
        <v>0</v>
      </c>
      <c r="C18" s="559">
        <v>0</v>
      </c>
      <c r="D18" s="559">
        <v>0</v>
      </c>
      <c r="E18" s="559">
        <f>D18-C18</f>
        <v>0</v>
      </c>
    </row>
    <row r="19" spans="1:5" ht="34.5">
      <c r="A19" s="560" t="s">
        <v>25</v>
      </c>
      <c r="B19" s="561">
        <v>0</v>
      </c>
      <c r="C19" s="561">
        <v>0</v>
      </c>
      <c r="D19" s="561">
        <v>0</v>
      </c>
      <c r="E19" s="561">
        <f>D19-C19</f>
        <v>0</v>
      </c>
    </row>
    <row r="20" spans="1:5" ht="35.25">
      <c r="A20" s="36" t="s">
        <v>26</v>
      </c>
      <c r="B20" s="552">
        <f>B19+B18+B17+B16+B15</f>
        <v>0</v>
      </c>
      <c r="C20" s="552">
        <f>C19+C18+C17+C16+C15</f>
        <v>0</v>
      </c>
      <c r="D20" s="552">
        <f>D19+D18+D17+D16+D15</f>
        <v>0</v>
      </c>
      <c r="E20" s="553">
        <f>E19+E18+E17+E16+E15</f>
        <v>0</v>
      </c>
    </row>
    <row r="21" spans="1:5" ht="34.5">
      <c r="A21" s="43" t="s">
        <v>27</v>
      </c>
      <c r="B21" s="550">
        <v>0</v>
      </c>
      <c r="C21" s="550">
        <v>0</v>
      </c>
      <c r="D21" s="550">
        <v>0</v>
      </c>
      <c r="E21" s="551">
        <f aca="true" t="shared" si="0" ref="E21:E26">D21-C21</f>
        <v>0</v>
      </c>
    </row>
    <row r="22" spans="1:5" ht="34.5">
      <c r="A22" s="42" t="s">
        <v>28</v>
      </c>
      <c r="B22" s="552">
        <v>0</v>
      </c>
      <c r="C22" s="552">
        <v>0</v>
      </c>
      <c r="D22" s="552">
        <v>0</v>
      </c>
      <c r="E22" s="553">
        <f t="shared" si="0"/>
        <v>0</v>
      </c>
    </row>
    <row r="23" spans="1:5" ht="34.5">
      <c r="A23" s="44" t="s">
        <v>29</v>
      </c>
      <c r="B23" s="552">
        <v>12000</v>
      </c>
      <c r="C23" s="552">
        <v>70000</v>
      </c>
      <c r="D23" s="552">
        <v>70000</v>
      </c>
      <c r="E23" s="553">
        <f t="shared" si="0"/>
        <v>0</v>
      </c>
    </row>
    <row r="24" spans="1:5" ht="34.5">
      <c r="A24" s="38" t="s">
        <v>30</v>
      </c>
      <c r="B24" s="552">
        <v>0</v>
      </c>
      <c r="C24" s="552">
        <v>0</v>
      </c>
      <c r="D24" s="552">
        <v>0</v>
      </c>
      <c r="E24" s="553">
        <f t="shared" si="0"/>
        <v>0</v>
      </c>
    </row>
    <row r="25" spans="1:5" ht="34.5">
      <c r="A25" s="42" t="s">
        <v>31</v>
      </c>
      <c r="B25" s="552">
        <v>0</v>
      </c>
      <c r="C25" s="552">
        <v>0</v>
      </c>
      <c r="D25" s="552">
        <v>0</v>
      </c>
      <c r="E25" s="553">
        <f t="shared" si="0"/>
        <v>0</v>
      </c>
    </row>
    <row r="26" spans="1:5" ht="34.5">
      <c r="A26" s="44" t="s">
        <v>32</v>
      </c>
      <c r="B26" s="552">
        <v>1079000</v>
      </c>
      <c r="C26" s="552">
        <v>1030000</v>
      </c>
      <c r="D26" s="552">
        <v>1030000</v>
      </c>
      <c r="E26" s="553">
        <f t="shared" si="0"/>
        <v>0</v>
      </c>
    </row>
    <row r="27" spans="1:5" ht="35.25">
      <c r="A27" s="45" t="s">
        <v>33</v>
      </c>
      <c r="B27" s="554">
        <f>B26+B25+B24+B23+B22+B21+B20</f>
        <v>1091000</v>
      </c>
      <c r="C27" s="554">
        <f>C26+C25+C24+C23+C22+C21+C20</f>
        <v>1100000</v>
      </c>
      <c r="D27" s="554">
        <f>D26+D25+D24+D23+D22+D21+D20</f>
        <v>1100000</v>
      </c>
      <c r="E27" s="554">
        <f>E26+E25+E24+E23+E22+E21+E20</f>
        <v>0</v>
      </c>
    </row>
    <row r="28" spans="1:5" ht="35.25">
      <c r="A28" s="41" t="s">
        <v>34</v>
      </c>
      <c r="B28" s="550"/>
      <c r="C28" s="550"/>
      <c r="D28" s="550"/>
      <c r="E28" s="551"/>
    </row>
    <row r="29" spans="1:5" ht="34.5">
      <c r="A29" s="46" t="s">
        <v>35</v>
      </c>
      <c r="B29" s="550">
        <v>610991</v>
      </c>
      <c r="C29" s="550">
        <v>1000000</v>
      </c>
      <c r="D29" s="555">
        <v>1000000</v>
      </c>
      <c r="E29" s="551">
        <f>D29-C29</f>
        <v>0</v>
      </c>
    </row>
    <row r="30" spans="1:5" ht="34.5">
      <c r="A30" s="37" t="s">
        <v>36</v>
      </c>
      <c r="B30" s="554">
        <v>0</v>
      </c>
      <c r="C30" s="554">
        <v>0</v>
      </c>
      <c r="D30" s="554">
        <v>0</v>
      </c>
      <c r="E30" s="556">
        <f>D30-C30</f>
        <v>0</v>
      </c>
    </row>
    <row r="31" spans="1:5" ht="35.25">
      <c r="A31" s="47" t="s">
        <v>37</v>
      </c>
      <c r="B31" s="550"/>
      <c r="C31" s="555"/>
      <c r="D31" s="555"/>
      <c r="E31" s="550"/>
    </row>
    <row r="32" spans="1:5" ht="34.5">
      <c r="A32" s="42" t="s">
        <v>38</v>
      </c>
      <c r="B32" s="550">
        <v>0</v>
      </c>
      <c r="C32" s="550">
        <v>0</v>
      </c>
      <c r="D32" s="550">
        <v>0</v>
      </c>
      <c r="E32" s="551">
        <f>D32-C32</f>
        <v>0</v>
      </c>
    </row>
    <row r="33" spans="1:5" ht="34.5">
      <c r="A33" s="37" t="s">
        <v>68</v>
      </c>
      <c r="B33" s="552">
        <v>3374898</v>
      </c>
      <c r="C33" s="552">
        <v>3034667</v>
      </c>
      <c r="D33" s="552">
        <v>3034667</v>
      </c>
      <c r="E33" s="553">
        <f>D33-C33</f>
        <v>0</v>
      </c>
    </row>
    <row r="34" spans="1:5" s="52" customFormat="1" ht="44.25">
      <c r="A34" s="36" t="s">
        <v>40</v>
      </c>
      <c r="B34" s="552">
        <f>B33+B32+B30+B29</f>
        <v>3985889</v>
      </c>
      <c r="C34" s="552">
        <f>C33+C32+C30+C29</f>
        <v>4034667</v>
      </c>
      <c r="D34" s="552">
        <f>D33+D32+D30+D29</f>
        <v>4034667</v>
      </c>
      <c r="E34" s="552">
        <f>E33+E32+E30+E29</f>
        <v>0</v>
      </c>
    </row>
    <row r="35" spans="1:5" s="52" customFormat="1" ht="45" thickBot="1">
      <c r="A35" s="48" t="s">
        <v>41</v>
      </c>
      <c r="B35" s="557">
        <f>B34+B27+B12</f>
        <v>5156889</v>
      </c>
      <c r="C35" s="557">
        <f>C34+C27+C12</f>
        <v>5984667</v>
      </c>
      <c r="D35" s="557">
        <f>D34+D27+D12</f>
        <v>5984667</v>
      </c>
      <c r="E35" s="557">
        <f>E34+E27+E12</f>
        <v>0</v>
      </c>
    </row>
    <row r="36" spans="1:5" ht="21" thickTop="1">
      <c r="A36" s="101" t="s">
        <v>0</v>
      </c>
      <c r="B36" s="100"/>
      <c r="C36" s="100"/>
      <c r="D36" s="100"/>
      <c r="E36" s="100"/>
    </row>
    <row r="38" ht="15">
      <c r="A38" s="102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B1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6.25">
      <c r="A1" s="562" t="s">
        <v>2</v>
      </c>
      <c r="B1" s="565"/>
      <c r="C1" s="613" t="s">
        <v>3</v>
      </c>
      <c r="D1" s="634" t="s">
        <v>211</v>
      </c>
      <c r="E1" s="613"/>
      <c r="F1" s="632"/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99385264</v>
      </c>
      <c r="C7" s="620">
        <v>99385264</v>
      </c>
      <c r="D7" s="620">
        <v>91494980</v>
      </c>
      <c r="E7" s="620">
        <f>D7-C7</f>
        <v>-7890284</v>
      </c>
      <c r="F7" s="588">
        <f aca="true" t="shared" si="0" ref="F7:F12">IF(ISERROR(E7/C7),0,(E7/C7))</f>
        <v>-0.07939088434679813</v>
      </c>
    </row>
    <row r="8" spans="1:6" ht="45.75">
      <c r="A8" s="584" t="s">
        <v>14</v>
      </c>
      <c r="B8" s="620">
        <v>120615282</v>
      </c>
      <c r="C8" s="620">
        <v>120615282</v>
      </c>
      <c r="D8" s="620">
        <v>139820750</v>
      </c>
      <c r="E8" s="620">
        <f>D8-C8</f>
        <v>19205468</v>
      </c>
      <c r="F8" s="587">
        <f t="shared" si="0"/>
        <v>0.1592291431196919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2509398</v>
      </c>
      <c r="C11" s="620">
        <v>2509398</v>
      </c>
      <c r="D11" s="620">
        <v>2509398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222509944</v>
      </c>
      <c r="C12" s="621">
        <f>C10+C9+C8+C7+C11</f>
        <v>222509944</v>
      </c>
      <c r="D12" s="621">
        <f>D10+D9+D8+D7+D11</f>
        <v>233825128</v>
      </c>
      <c r="E12" s="621">
        <f>E10+E9+E8+E7+E11</f>
        <v>11315184</v>
      </c>
      <c r="F12" s="593">
        <f t="shared" si="0"/>
        <v>0.050852486844363234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5961479</v>
      </c>
      <c r="C15" s="620">
        <v>5364088</v>
      </c>
      <c r="D15" s="620">
        <v>5364088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84166</v>
      </c>
      <c r="C16" s="620">
        <v>144000</v>
      </c>
      <c r="D16" s="620">
        <v>144000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80917</v>
      </c>
      <c r="C17" s="620">
        <v>18970</v>
      </c>
      <c r="D17" s="620">
        <v>18970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233077</v>
      </c>
      <c r="C18" s="620">
        <v>213646</v>
      </c>
      <c r="D18" s="620">
        <v>213646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0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6359639</v>
      </c>
      <c r="C20" s="621">
        <f>C19+C18+C17+C16+C15</f>
        <v>5740704</v>
      </c>
      <c r="D20" s="621">
        <f>D19+D18+D17+D16+D15</f>
        <v>5740704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41487892</v>
      </c>
      <c r="C21" s="620">
        <v>41487892</v>
      </c>
      <c r="D21" s="620">
        <v>47098634</v>
      </c>
      <c r="E21" s="620">
        <f aca="true" t="shared" si="2" ref="E21:E26">D21-C21</f>
        <v>5610742</v>
      </c>
      <c r="F21" s="587">
        <f t="shared" si="1"/>
        <v>0.13523805933548033</v>
      </c>
    </row>
    <row r="22" spans="1:6" ht="45.75">
      <c r="A22" s="591" t="s">
        <v>28</v>
      </c>
      <c r="B22" s="620">
        <v>0</v>
      </c>
      <c r="C22" s="620">
        <v>20400</v>
      </c>
      <c r="D22" s="620">
        <v>20400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15759</v>
      </c>
      <c r="C26" s="620">
        <v>1174366</v>
      </c>
      <c r="D26" s="620">
        <v>1174366</v>
      </c>
      <c r="E26" s="620">
        <f t="shared" si="2"/>
        <v>0</v>
      </c>
      <c r="F26" s="587">
        <f t="shared" si="1"/>
        <v>0</v>
      </c>
    </row>
    <row r="27" spans="1:6" ht="47.25">
      <c r="A27" s="598" t="s">
        <v>33</v>
      </c>
      <c r="B27" s="621">
        <f>B26+B25+B24+B23+B22+B21+B20</f>
        <v>47863290</v>
      </c>
      <c r="C27" s="621">
        <f>C26+C25+C24+C23+C22+C21+C20</f>
        <v>48423362</v>
      </c>
      <c r="D27" s="621">
        <f>D26+D25+D24+D23+D22+D21+D20</f>
        <v>54034104</v>
      </c>
      <c r="E27" s="621">
        <f>E26+E25+E24+E23+E22+E21+E20</f>
        <v>5610742</v>
      </c>
      <c r="F27" s="593">
        <f t="shared" si="1"/>
        <v>0.1158684933937466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49745381</v>
      </c>
      <c r="C30" s="620">
        <v>49745381</v>
      </c>
      <c r="D30" s="620">
        <v>49466921</v>
      </c>
      <c r="E30" s="620">
        <f>D30-C30</f>
        <v>-278460</v>
      </c>
      <c r="F30" s="587">
        <f>IF(ISERROR(E30/C30),0,(E30/C30))</f>
        <v>-0.005597705644268761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49745381</v>
      </c>
      <c r="C34" s="621">
        <f>C33+C32+C30+C29</f>
        <v>49745381</v>
      </c>
      <c r="D34" s="621">
        <f>D33+D32+D30+D29</f>
        <v>49466921</v>
      </c>
      <c r="E34" s="621">
        <f>E33+E32+E30+E29</f>
        <v>-278460</v>
      </c>
      <c r="F34" s="607">
        <f>IF(ISERROR(E34/C34),0,(E34/C34))</f>
        <v>-0.005597705644268761</v>
      </c>
    </row>
    <row r="35" spans="1:6" ht="48" thickBot="1">
      <c r="A35" s="602" t="s">
        <v>41</v>
      </c>
      <c r="B35" s="626">
        <f>B34+B27+B12</f>
        <v>320118615</v>
      </c>
      <c r="C35" s="627">
        <f>C34+C27+C12</f>
        <v>320678687</v>
      </c>
      <c r="D35" s="627">
        <f>D34+D27+D12</f>
        <v>337326153</v>
      </c>
      <c r="E35" s="627">
        <f>E34+E27+E12</f>
        <v>16647466</v>
      </c>
      <c r="F35" s="608">
        <f>IF(ISERROR(E35/C35),0,(E35/C35))</f>
        <v>0.051913228645594396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 t="s">
        <v>42</v>
      </c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 t="s">
        <v>43</v>
      </c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35" zoomScaleNormal="35" zoomScalePageLayoutView="0" workbookViewId="0" topLeftCell="A5">
      <selection activeCell="K26" sqref="K26"/>
    </sheetView>
  </sheetViews>
  <sheetFormatPr defaultColWidth="8.88671875" defaultRowHeight="15"/>
  <cols>
    <col min="1" max="1" width="133.6640625" style="0" customWidth="1"/>
    <col min="2" max="4" width="30.77734375" style="0" customWidth="1"/>
    <col min="5" max="5" width="31.4453125" style="0" customWidth="1"/>
  </cols>
  <sheetData>
    <row r="1" spans="1:6" ht="45">
      <c r="A1" s="9" t="s">
        <v>207</v>
      </c>
      <c r="B1" s="11"/>
      <c r="C1" s="11"/>
      <c r="D1" s="12" t="s">
        <v>208</v>
      </c>
      <c r="E1" s="69"/>
      <c r="F1" s="70"/>
    </row>
    <row r="2" spans="1:6" ht="45">
      <c r="A2" s="9" t="s">
        <v>9</v>
      </c>
      <c r="B2" s="11"/>
      <c r="C2" s="11"/>
      <c r="D2" s="11"/>
      <c r="E2" s="11"/>
      <c r="F2" s="11"/>
    </row>
    <row r="3" spans="1:6" ht="45.75" thickBot="1">
      <c r="A3" s="10" t="s">
        <v>10</v>
      </c>
      <c r="B3" s="71"/>
      <c r="C3" s="71"/>
      <c r="D3" s="71"/>
      <c r="E3" s="71"/>
      <c r="F3" s="71"/>
    </row>
    <row r="4" spans="1:6" ht="36" thickTop="1">
      <c r="A4" s="34" t="s">
        <v>11</v>
      </c>
      <c r="B4" s="72" t="s">
        <v>44</v>
      </c>
      <c r="C4" s="72" t="s">
        <v>45</v>
      </c>
      <c r="D4" s="72" t="s">
        <v>45</v>
      </c>
      <c r="E4" s="73" t="s">
        <v>46</v>
      </c>
      <c r="F4" s="74"/>
    </row>
    <row r="5" spans="1:6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  <c r="F5" s="74"/>
    </row>
    <row r="6" spans="1:6" ht="35.25">
      <c r="A6" s="36" t="s">
        <v>12</v>
      </c>
      <c r="B6" s="78"/>
      <c r="C6" s="78"/>
      <c r="D6" s="78"/>
      <c r="E6" s="79"/>
      <c r="F6" s="74"/>
    </row>
    <row r="7" spans="1:6" ht="34.5">
      <c r="A7" s="35" t="s">
        <v>13</v>
      </c>
      <c r="B7" s="80">
        <v>13923090</v>
      </c>
      <c r="C7" s="80">
        <v>13923090</v>
      </c>
      <c r="D7" s="80">
        <v>11656211</v>
      </c>
      <c r="E7" s="81">
        <f aca="true" t="shared" si="0" ref="E7:E12">D7-C7</f>
        <v>-2266879</v>
      </c>
      <c r="F7" s="74"/>
    </row>
    <row r="8" spans="1:6" ht="34.5">
      <c r="A8" s="37" t="s">
        <v>14</v>
      </c>
      <c r="B8" s="82">
        <v>24141302</v>
      </c>
      <c r="C8" s="82">
        <v>25250238</v>
      </c>
      <c r="D8" s="82">
        <v>28680766</v>
      </c>
      <c r="E8" s="83">
        <f t="shared" si="0"/>
        <v>3430528</v>
      </c>
      <c r="F8" s="74"/>
    </row>
    <row r="9" spans="1:6" ht="34.5">
      <c r="A9" s="38" t="s">
        <v>15</v>
      </c>
      <c r="B9" s="82"/>
      <c r="C9" s="82"/>
      <c r="D9" s="82"/>
      <c r="E9" s="83">
        <f t="shared" si="0"/>
        <v>0</v>
      </c>
      <c r="F9" s="74"/>
    </row>
    <row r="10" spans="1:6" ht="34.5">
      <c r="A10" s="39" t="s">
        <v>16</v>
      </c>
      <c r="B10" s="82"/>
      <c r="C10" s="82"/>
      <c r="D10" s="82"/>
      <c r="E10" s="83">
        <f t="shared" si="0"/>
        <v>0</v>
      </c>
      <c r="F10" s="74"/>
    </row>
    <row r="11" spans="1:6" ht="34.5">
      <c r="A11" s="39" t="s">
        <v>17</v>
      </c>
      <c r="B11" s="82"/>
      <c r="C11" s="82"/>
      <c r="D11" s="82"/>
      <c r="E11" s="83">
        <f t="shared" si="0"/>
        <v>0</v>
      </c>
      <c r="F11" s="74"/>
    </row>
    <row r="12" spans="1:6" ht="35.25">
      <c r="A12" s="40" t="s">
        <v>18</v>
      </c>
      <c r="B12" s="84">
        <f>B10+B9+B8+B7+B11</f>
        <v>38064392</v>
      </c>
      <c r="C12" s="84">
        <f>C10+C9+C8+C7+C11</f>
        <v>39173328</v>
      </c>
      <c r="D12" s="84">
        <f>D10+D9+D8+D7+D11</f>
        <v>40336977</v>
      </c>
      <c r="E12" s="83">
        <f t="shared" si="0"/>
        <v>1163649</v>
      </c>
      <c r="F12" s="74"/>
    </row>
    <row r="13" spans="1:6" ht="35.25">
      <c r="A13" s="36" t="s">
        <v>19</v>
      </c>
      <c r="B13" s="82"/>
      <c r="C13" s="82"/>
      <c r="D13" s="82"/>
      <c r="E13" s="85"/>
      <c r="F13" s="86"/>
    </row>
    <row r="14" spans="1:6" ht="35.25">
      <c r="A14" s="41" t="s">
        <v>20</v>
      </c>
      <c r="B14" s="80"/>
      <c r="C14" s="80"/>
      <c r="D14" s="80"/>
      <c r="E14" s="87"/>
      <c r="F14" s="86"/>
    </row>
    <row r="15" spans="1:6" ht="34.5">
      <c r="A15" s="35" t="s">
        <v>21</v>
      </c>
      <c r="B15" s="88"/>
      <c r="C15" s="88"/>
      <c r="D15" s="88"/>
      <c r="E15" s="88">
        <f>D15-C15</f>
        <v>0</v>
      </c>
      <c r="F15" s="86"/>
    </row>
    <row r="16" spans="1:6" ht="34.5">
      <c r="A16" s="35" t="s">
        <v>22</v>
      </c>
      <c r="B16" s="88"/>
      <c r="C16" s="88"/>
      <c r="D16" s="88"/>
      <c r="E16" s="88">
        <f>D16-C16</f>
        <v>0</v>
      </c>
      <c r="F16" s="86"/>
    </row>
    <row r="17" spans="1:6" ht="34.5">
      <c r="A17" s="42" t="s">
        <v>23</v>
      </c>
      <c r="B17" s="88"/>
      <c r="C17" s="88"/>
      <c r="D17" s="88"/>
      <c r="E17" s="88">
        <f>D17-C17</f>
        <v>0</v>
      </c>
      <c r="F17" s="86"/>
    </row>
    <row r="18" spans="1:6" ht="34.5">
      <c r="A18" s="42" t="s">
        <v>24</v>
      </c>
      <c r="B18" s="88"/>
      <c r="C18" s="88"/>
      <c r="D18" s="88"/>
      <c r="E18" s="88">
        <f>D18-C18</f>
        <v>0</v>
      </c>
      <c r="F18" s="86"/>
    </row>
    <row r="19" spans="1:6" ht="34.5">
      <c r="A19" s="35" t="s">
        <v>25</v>
      </c>
      <c r="B19" s="88"/>
      <c r="C19" s="88"/>
      <c r="D19" s="88"/>
      <c r="E19" s="88">
        <f>D19-C19</f>
        <v>0</v>
      </c>
      <c r="F19" s="86"/>
    </row>
    <row r="20" spans="1:6" ht="35.25">
      <c r="A20" s="36" t="s">
        <v>26</v>
      </c>
      <c r="B20" s="84">
        <f>B19+B18+B17+B16+B15</f>
        <v>0</v>
      </c>
      <c r="C20" s="84">
        <f>C19+C18+C17+C16+C15</f>
        <v>0</v>
      </c>
      <c r="D20" s="84">
        <f>D19+D18+D17+D16+D15</f>
        <v>0</v>
      </c>
      <c r="E20" s="89">
        <f>E19+E18+E17+E16+E15</f>
        <v>0</v>
      </c>
      <c r="F20" s="74"/>
    </row>
    <row r="21" spans="1:6" ht="34.5">
      <c r="A21" s="43" t="s">
        <v>27</v>
      </c>
      <c r="B21" s="80">
        <v>1159195</v>
      </c>
      <c r="C21" s="80">
        <v>1159195</v>
      </c>
      <c r="D21" s="80">
        <v>1330426</v>
      </c>
      <c r="E21" s="81">
        <f aca="true" t="shared" si="1" ref="E21:E26">D21-C21</f>
        <v>171231</v>
      </c>
      <c r="F21" s="74"/>
    </row>
    <row r="22" spans="1:6" ht="34.5">
      <c r="A22" s="42" t="s">
        <v>28</v>
      </c>
      <c r="B22" s="82"/>
      <c r="C22" s="82"/>
      <c r="D22" s="82"/>
      <c r="E22" s="89">
        <f t="shared" si="1"/>
        <v>0</v>
      </c>
      <c r="F22" s="74"/>
    </row>
    <row r="23" spans="1:6" ht="34.5">
      <c r="A23" s="44" t="s">
        <v>29</v>
      </c>
      <c r="B23" s="82"/>
      <c r="C23" s="82"/>
      <c r="D23" s="82"/>
      <c r="E23" s="89">
        <f t="shared" si="1"/>
        <v>0</v>
      </c>
      <c r="F23" s="74"/>
    </row>
    <row r="24" spans="1:6" ht="34.5">
      <c r="A24" s="38" t="s">
        <v>30</v>
      </c>
      <c r="B24" s="82"/>
      <c r="C24" s="82"/>
      <c r="D24" s="82"/>
      <c r="E24" s="89">
        <f t="shared" si="1"/>
        <v>0</v>
      </c>
      <c r="F24" s="74"/>
    </row>
    <row r="25" spans="1:6" ht="34.5">
      <c r="A25" s="42" t="s">
        <v>31</v>
      </c>
      <c r="B25" s="82"/>
      <c r="C25" s="82"/>
      <c r="D25" s="82"/>
      <c r="E25" s="89">
        <f t="shared" si="1"/>
        <v>0</v>
      </c>
      <c r="F25" s="74"/>
    </row>
    <row r="26" spans="1:6" ht="34.5">
      <c r="A26" s="44" t="s">
        <v>32</v>
      </c>
      <c r="B26" s="82"/>
      <c r="C26" s="82"/>
      <c r="D26" s="82"/>
      <c r="E26" s="89">
        <f t="shared" si="1"/>
        <v>0</v>
      </c>
      <c r="F26" s="74"/>
    </row>
    <row r="27" spans="1:6" ht="35.25">
      <c r="A27" s="45" t="s">
        <v>33</v>
      </c>
      <c r="B27" s="90">
        <f>B26+B25+B24+B23+B22+B21+B20</f>
        <v>1159195</v>
      </c>
      <c r="C27" s="90">
        <f>C26+C25+C24+C23+C22+C21+C20</f>
        <v>1159195</v>
      </c>
      <c r="D27" s="90">
        <f>D26+D25+D24+D23+D22+D21+D20</f>
        <v>1330426</v>
      </c>
      <c r="E27" s="91">
        <f>E26+E25+E24+E23+E22+E21</f>
        <v>171231</v>
      </c>
      <c r="F27" s="74"/>
    </row>
    <row r="28" spans="1:6" ht="35.25">
      <c r="A28" s="41" t="s">
        <v>34</v>
      </c>
      <c r="B28" s="80"/>
      <c r="C28" s="80"/>
      <c r="D28" s="80"/>
      <c r="E28" s="87"/>
      <c r="F28" s="74"/>
    </row>
    <row r="29" spans="1:6" ht="34.5">
      <c r="A29" s="46" t="s">
        <v>35</v>
      </c>
      <c r="B29" s="80"/>
      <c r="C29" s="80"/>
      <c r="D29" s="92"/>
      <c r="E29" s="81">
        <f>D29-C29</f>
        <v>0</v>
      </c>
      <c r="F29" s="74"/>
    </row>
    <row r="30" spans="1:6" ht="34.5">
      <c r="A30" s="37" t="s">
        <v>36</v>
      </c>
      <c r="B30" s="93">
        <v>3043269</v>
      </c>
      <c r="C30" s="93">
        <v>3457946</v>
      </c>
      <c r="D30" s="93">
        <v>4547674</v>
      </c>
      <c r="E30" s="94">
        <f>D30-C30</f>
        <v>1089728</v>
      </c>
      <c r="F30" s="74"/>
    </row>
    <row r="31" spans="1:6" ht="35.25">
      <c r="A31" s="47" t="s">
        <v>37</v>
      </c>
      <c r="B31" s="80"/>
      <c r="C31" s="92"/>
      <c r="D31" s="92"/>
      <c r="E31" s="80"/>
      <c r="F31" s="74"/>
    </row>
    <row r="32" spans="1:6" ht="34.5">
      <c r="A32" s="42" t="s">
        <v>38</v>
      </c>
      <c r="B32" s="80"/>
      <c r="C32" s="80"/>
      <c r="D32" s="80"/>
      <c r="E32" s="81">
        <f>D32-C32</f>
        <v>0</v>
      </c>
      <c r="F32" s="74"/>
    </row>
    <row r="33" spans="1:6" ht="34.5">
      <c r="A33" s="37" t="s">
        <v>39</v>
      </c>
      <c r="B33" s="82"/>
      <c r="C33" s="82"/>
      <c r="D33" s="82"/>
      <c r="E33" s="89">
        <f>D33-C33</f>
        <v>0</v>
      </c>
      <c r="F33" s="74"/>
    </row>
    <row r="34" spans="1:6" ht="44.25">
      <c r="A34" s="36" t="s">
        <v>40</v>
      </c>
      <c r="B34" s="84">
        <f>B33+B32+B30+B29</f>
        <v>3043269</v>
      </c>
      <c r="C34" s="84">
        <f>C33+C32+C30+C29</f>
        <v>3457946</v>
      </c>
      <c r="D34" s="84">
        <f>D33+D32+D30+D29</f>
        <v>4547674</v>
      </c>
      <c r="E34" s="89">
        <f>D34-C34</f>
        <v>1089728</v>
      </c>
      <c r="F34" s="51"/>
    </row>
    <row r="35" spans="1:6" ht="45" thickBot="1">
      <c r="A35" s="48" t="s">
        <v>41</v>
      </c>
      <c r="B35" s="95">
        <f>B34+B27+B12+B20</f>
        <v>42266856</v>
      </c>
      <c r="C35" s="95">
        <f>C34+C27+C12+C20</f>
        <v>43790469</v>
      </c>
      <c r="D35" s="95">
        <f>D34+D27+D12+D20</f>
        <v>46215077</v>
      </c>
      <c r="E35" s="96">
        <f>D35-C35</f>
        <v>2424608</v>
      </c>
      <c r="F35" s="51"/>
    </row>
    <row r="36" spans="1:6" ht="45" thickTop="1">
      <c r="A36" s="97"/>
      <c r="B36" s="98"/>
      <c r="C36" s="98"/>
      <c r="D36" s="98"/>
      <c r="E36" s="98"/>
      <c r="F36" s="51"/>
    </row>
    <row r="37" spans="1:6" ht="45">
      <c r="A37" s="49" t="s">
        <v>42</v>
      </c>
      <c r="B37" s="50"/>
      <c r="C37" s="50"/>
      <c r="D37" s="50"/>
      <c r="E37" s="50"/>
      <c r="F37" s="99"/>
    </row>
    <row r="38" spans="1:6" ht="44.25">
      <c r="A38" s="51"/>
      <c r="B38" s="52"/>
      <c r="C38" s="52"/>
      <c r="D38" s="52"/>
      <c r="E38" s="52"/>
      <c r="F38" s="100"/>
    </row>
    <row r="39" spans="1:6" ht="44.25">
      <c r="A39" s="53" t="s">
        <v>43</v>
      </c>
      <c r="B39" s="52"/>
      <c r="C39" s="52"/>
      <c r="D39" s="52"/>
      <c r="E39" s="52"/>
      <c r="F39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4"/>
  <sheetViews>
    <sheetView zoomScale="35" zoomScaleNormal="35" zoomScalePageLayoutView="0" workbookViewId="0" topLeftCell="A4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207</v>
      </c>
      <c r="B1" s="11"/>
      <c r="C1" s="11"/>
      <c r="D1" s="12" t="s">
        <v>206</v>
      </c>
      <c r="E1" s="69"/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6" ht="36" thickTop="1">
      <c r="A4" s="34" t="s">
        <v>11</v>
      </c>
      <c r="B4" s="72" t="s">
        <v>44</v>
      </c>
      <c r="C4" s="72" t="s">
        <v>45</v>
      </c>
      <c r="D4" s="72" t="s">
        <v>45</v>
      </c>
      <c r="E4" s="73" t="s">
        <v>46</v>
      </c>
      <c r="F4" s="74"/>
    </row>
    <row r="5" spans="1:6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  <c r="F5" s="74"/>
    </row>
    <row r="6" spans="1:6" ht="35.25">
      <c r="A6" s="36" t="s">
        <v>12</v>
      </c>
      <c r="B6" s="78"/>
      <c r="C6" s="78"/>
      <c r="D6" s="78"/>
      <c r="E6" s="79"/>
      <c r="F6" s="74"/>
    </row>
    <row r="7" spans="1:6" ht="34.5">
      <c r="A7" s="35" t="s">
        <v>13</v>
      </c>
      <c r="B7" s="80">
        <v>27344094</v>
      </c>
      <c r="C7" s="80">
        <v>27824509</v>
      </c>
      <c r="D7" s="80">
        <v>28811746</v>
      </c>
      <c r="E7" s="81">
        <f aca="true" t="shared" si="0" ref="E7:E12">D7-C7</f>
        <v>987237</v>
      </c>
      <c r="F7" s="74"/>
    </row>
    <row r="8" spans="1:6" ht="34.5">
      <c r="A8" s="37" t="s">
        <v>14</v>
      </c>
      <c r="B8" s="82">
        <v>38152001</v>
      </c>
      <c r="C8" s="82">
        <v>38152001</v>
      </c>
      <c r="D8" s="82">
        <v>39030901</v>
      </c>
      <c r="E8" s="83">
        <f t="shared" si="0"/>
        <v>878900</v>
      </c>
      <c r="F8" s="74"/>
    </row>
    <row r="9" spans="1:6" ht="34.5">
      <c r="A9" s="38" t="s">
        <v>15</v>
      </c>
      <c r="B9" s="82"/>
      <c r="C9" s="82"/>
      <c r="D9" s="82"/>
      <c r="E9" s="83">
        <f t="shared" si="0"/>
        <v>0</v>
      </c>
      <c r="F9" s="74"/>
    </row>
    <row r="10" spans="1:6" ht="34.5">
      <c r="A10" s="39" t="s">
        <v>16</v>
      </c>
      <c r="B10" s="82"/>
      <c r="C10" s="82"/>
      <c r="D10" s="82"/>
      <c r="E10" s="83">
        <f t="shared" si="0"/>
        <v>0</v>
      </c>
      <c r="F10" s="74"/>
    </row>
    <row r="11" spans="1:6" ht="34.5">
      <c r="A11" s="39" t="s">
        <v>17</v>
      </c>
      <c r="B11" s="82"/>
      <c r="C11" s="82"/>
      <c r="D11" s="82"/>
      <c r="E11" s="83">
        <f t="shared" si="0"/>
        <v>0</v>
      </c>
      <c r="F11" s="74"/>
    </row>
    <row r="12" spans="1:6" ht="35.25">
      <c r="A12" s="40" t="s">
        <v>18</v>
      </c>
      <c r="B12" s="84">
        <f>B10+B9+B8+B7+B11</f>
        <v>65496095</v>
      </c>
      <c r="C12" s="84">
        <f>C10+C9+C8+C7+C11</f>
        <v>65976510</v>
      </c>
      <c r="D12" s="84">
        <f>D10+D9+D8+D7+D11</f>
        <v>67842647</v>
      </c>
      <c r="E12" s="83">
        <f t="shared" si="0"/>
        <v>1866137</v>
      </c>
      <c r="F12" s="74"/>
    </row>
    <row r="13" spans="1:6" ht="35.25">
      <c r="A13" s="36" t="s">
        <v>19</v>
      </c>
      <c r="B13" s="82"/>
      <c r="C13" s="82"/>
      <c r="D13" s="82"/>
      <c r="E13" s="85"/>
      <c r="F13" s="86"/>
    </row>
    <row r="14" spans="1:6" ht="35.25">
      <c r="A14" s="41" t="s">
        <v>20</v>
      </c>
      <c r="B14" s="80"/>
      <c r="C14" s="80"/>
      <c r="D14" s="80"/>
      <c r="E14" s="87"/>
      <c r="F14" s="86"/>
    </row>
    <row r="15" spans="1:6" ht="34.5">
      <c r="A15" s="35" t="s">
        <v>21</v>
      </c>
      <c r="B15" s="88"/>
      <c r="C15" s="88"/>
      <c r="D15" s="88"/>
      <c r="E15" s="88">
        <f>D15-C15</f>
        <v>0</v>
      </c>
      <c r="F15" s="86"/>
    </row>
    <row r="16" spans="1:6" ht="34.5">
      <c r="A16" s="35" t="s">
        <v>22</v>
      </c>
      <c r="B16" s="88"/>
      <c r="C16" s="88"/>
      <c r="D16" s="88"/>
      <c r="E16" s="88">
        <f>D16-C16</f>
        <v>0</v>
      </c>
      <c r="F16" s="86"/>
    </row>
    <row r="17" spans="1:6" ht="34.5">
      <c r="A17" s="42" t="s">
        <v>23</v>
      </c>
      <c r="B17" s="88"/>
      <c r="C17" s="88"/>
      <c r="D17" s="88"/>
      <c r="E17" s="88">
        <f>D17-C17</f>
        <v>0</v>
      </c>
      <c r="F17" s="86"/>
    </row>
    <row r="18" spans="1:6" ht="34.5">
      <c r="A18" s="42" t="s">
        <v>24</v>
      </c>
      <c r="B18" s="88"/>
      <c r="C18" s="88"/>
      <c r="D18" s="88"/>
      <c r="E18" s="88">
        <f>D18-C18</f>
        <v>0</v>
      </c>
      <c r="F18" s="86"/>
    </row>
    <row r="19" spans="1:6" ht="34.5">
      <c r="A19" s="35" t="s">
        <v>25</v>
      </c>
      <c r="B19" s="88"/>
      <c r="C19" s="88"/>
      <c r="D19" s="88"/>
      <c r="E19" s="88">
        <f>D19-C19</f>
        <v>0</v>
      </c>
      <c r="F19" s="86"/>
    </row>
    <row r="20" spans="1:6" ht="35.25">
      <c r="A20" s="36" t="s">
        <v>26</v>
      </c>
      <c r="B20" s="84">
        <f>B19+B18+B17+B16+B15</f>
        <v>0</v>
      </c>
      <c r="C20" s="84">
        <f>C19+C18+C17+C16+C15</f>
        <v>0</v>
      </c>
      <c r="D20" s="84">
        <f>D19+D18+D17+D16+D15</f>
        <v>0</v>
      </c>
      <c r="E20" s="89">
        <f>E19+E18+E17+E16+E15</f>
        <v>0</v>
      </c>
      <c r="F20" s="74"/>
    </row>
    <row r="21" spans="1:6" ht="34.5">
      <c r="A21" s="43" t="s">
        <v>27</v>
      </c>
      <c r="B21" s="80">
        <v>1943128</v>
      </c>
      <c r="C21" s="80">
        <v>1943128</v>
      </c>
      <c r="D21" s="80">
        <v>1636520</v>
      </c>
      <c r="E21" s="81">
        <f aca="true" t="shared" si="1" ref="E21:E26">D21-C21</f>
        <v>-306608</v>
      </c>
      <c r="F21" s="74"/>
    </row>
    <row r="22" spans="1:6" ht="34.5">
      <c r="A22" s="42" t="s">
        <v>28</v>
      </c>
      <c r="B22" s="82"/>
      <c r="C22" s="82"/>
      <c r="D22" s="82"/>
      <c r="E22" s="89">
        <f t="shared" si="1"/>
        <v>0</v>
      </c>
      <c r="F22" s="74"/>
    </row>
    <row r="23" spans="1:6" ht="34.5">
      <c r="A23" s="44" t="s">
        <v>29</v>
      </c>
      <c r="B23" s="82"/>
      <c r="C23" s="82"/>
      <c r="D23" s="82"/>
      <c r="E23" s="89">
        <f t="shared" si="1"/>
        <v>0</v>
      </c>
      <c r="F23" s="74"/>
    </row>
    <row r="24" spans="1:6" ht="34.5">
      <c r="A24" s="38" t="s">
        <v>30</v>
      </c>
      <c r="B24" s="82"/>
      <c r="C24" s="82"/>
      <c r="D24" s="82"/>
      <c r="E24" s="89">
        <f t="shared" si="1"/>
        <v>0</v>
      </c>
      <c r="F24" s="74"/>
    </row>
    <row r="25" spans="1:6" ht="34.5">
      <c r="A25" s="42" t="s">
        <v>31</v>
      </c>
      <c r="B25" s="82"/>
      <c r="C25" s="82"/>
      <c r="D25" s="82"/>
      <c r="E25" s="89">
        <f t="shared" si="1"/>
        <v>0</v>
      </c>
      <c r="F25" s="74"/>
    </row>
    <row r="26" spans="1:6" ht="34.5">
      <c r="A26" s="44" t="s">
        <v>32</v>
      </c>
      <c r="B26" s="82"/>
      <c r="C26" s="82"/>
      <c r="D26" s="82"/>
      <c r="E26" s="89">
        <f t="shared" si="1"/>
        <v>0</v>
      </c>
      <c r="F26" s="74"/>
    </row>
    <row r="27" spans="1:6" ht="35.25">
      <c r="A27" s="45" t="s">
        <v>33</v>
      </c>
      <c r="B27" s="90">
        <f>B26+B25+B24+B23+B22+B21+B20</f>
        <v>1943128</v>
      </c>
      <c r="C27" s="90">
        <f>C26+C25+C24+C23+C22+C21+C20</f>
        <v>1943128</v>
      </c>
      <c r="D27" s="90">
        <f>D26+D25+D24+D23+D22+D21+D20</f>
        <v>1636520</v>
      </c>
      <c r="E27" s="91">
        <f>E26+E25+E24+E23+E22+E21</f>
        <v>-306608</v>
      </c>
      <c r="F27" s="74"/>
    </row>
    <row r="28" spans="1:6" ht="35.25">
      <c r="A28" s="41" t="s">
        <v>34</v>
      </c>
      <c r="B28" s="80"/>
      <c r="C28" s="80"/>
      <c r="D28" s="80"/>
      <c r="E28" s="87"/>
      <c r="F28" s="74"/>
    </row>
    <row r="29" spans="1:6" ht="34.5">
      <c r="A29" s="46" t="s">
        <v>35</v>
      </c>
      <c r="B29" s="80"/>
      <c r="C29" s="80"/>
      <c r="D29" s="92"/>
      <c r="E29" s="81">
        <f>D29-C29</f>
        <v>0</v>
      </c>
      <c r="F29" s="74"/>
    </row>
    <row r="30" spans="1:6" ht="34.5">
      <c r="A30" s="37" t="s">
        <v>36</v>
      </c>
      <c r="B30" s="93">
        <v>5567309</v>
      </c>
      <c r="C30" s="93">
        <v>8190643</v>
      </c>
      <c r="D30" s="93">
        <v>6925284</v>
      </c>
      <c r="E30" s="94">
        <f>D30-C30</f>
        <v>-1265359</v>
      </c>
      <c r="F30" s="74"/>
    </row>
    <row r="31" spans="1:6" ht="35.25">
      <c r="A31" s="47" t="s">
        <v>37</v>
      </c>
      <c r="B31" s="80"/>
      <c r="C31" s="92"/>
      <c r="D31" s="92"/>
      <c r="E31" s="80"/>
      <c r="F31" s="74"/>
    </row>
    <row r="32" spans="1:6" ht="34.5">
      <c r="A32" s="42" t="s">
        <v>38</v>
      </c>
      <c r="B32" s="80"/>
      <c r="C32" s="80"/>
      <c r="D32" s="80"/>
      <c r="E32" s="81">
        <f>D32-C32</f>
        <v>0</v>
      </c>
      <c r="F32" s="74"/>
    </row>
    <row r="33" spans="1:6" ht="34.5">
      <c r="A33" s="37" t="s">
        <v>39</v>
      </c>
      <c r="B33" s="82"/>
      <c r="C33" s="82"/>
      <c r="D33" s="82"/>
      <c r="E33" s="89">
        <f>D33-C33</f>
        <v>0</v>
      </c>
      <c r="F33" s="74"/>
    </row>
    <row r="34" spans="1:6" s="52" customFormat="1" ht="44.25">
      <c r="A34" s="36" t="s">
        <v>40</v>
      </c>
      <c r="B34" s="84">
        <f>B33+B32+B30+B29</f>
        <v>5567309</v>
      </c>
      <c r="C34" s="84">
        <f>C33+C32+C30+C29</f>
        <v>8190643</v>
      </c>
      <c r="D34" s="84">
        <f>D33+D32+D30+D29</f>
        <v>6925284</v>
      </c>
      <c r="E34" s="89">
        <f>D34-C34</f>
        <v>-1265359</v>
      </c>
      <c r="F34" s="51"/>
    </row>
    <row r="35" spans="1:6" s="52" customFormat="1" ht="45" thickBot="1">
      <c r="A35" s="48" t="s">
        <v>41</v>
      </c>
      <c r="B35" s="95">
        <f>B34+B27+B12+B20</f>
        <v>73006532</v>
      </c>
      <c r="C35" s="95">
        <f>C34+C27+C12+C20</f>
        <v>76110281</v>
      </c>
      <c r="D35" s="95">
        <f>D34+D27+D12+D20</f>
        <v>76404451</v>
      </c>
      <c r="E35" s="96">
        <f>D35-C35</f>
        <v>294170</v>
      </c>
      <c r="F35" s="51"/>
    </row>
    <row r="36" spans="1:6" s="52" customFormat="1" ht="45" thickTop="1">
      <c r="A36" s="97"/>
      <c r="B36" s="98"/>
      <c r="C36" s="98"/>
      <c r="D36" s="98"/>
      <c r="E36" s="98"/>
      <c r="F36" s="51"/>
    </row>
    <row r="37" spans="1:6" ht="45">
      <c r="A37" s="49" t="s">
        <v>42</v>
      </c>
      <c r="B37" s="50"/>
      <c r="C37" s="50"/>
      <c r="D37" s="50"/>
      <c r="E37" s="50"/>
      <c r="F37" s="99"/>
    </row>
    <row r="38" spans="1:6" ht="44.25">
      <c r="A38" s="51"/>
      <c r="B38" s="52"/>
      <c r="C38" s="52"/>
      <c r="D38" s="52"/>
      <c r="E38" s="52"/>
      <c r="F38" s="100"/>
    </row>
    <row r="39" spans="1:6" ht="44.25">
      <c r="A39" s="53" t="s">
        <v>43</v>
      </c>
      <c r="B39" s="52"/>
      <c r="C39" s="52"/>
      <c r="D39" s="52"/>
      <c r="E39" s="52"/>
      <c r="F39" s="100"/>
    </row>
    <row r="40" spans="1:5" ht="20.25">
      <c r="A40" s="101"/>
      <c r="B40" s="100"/>
      <c r="C40" s="100"/>
      <c r="D40" s="100"/>
      <c r="E40" s="100"/>
    </row>
    <row r="41" spans="1:5" ht="20.25">
      <c r="A41" s="101" t="s">
        <v>0</v>
      </c>
      <c r="B41" s="99"/>
      <c r="C41" s="99"/>
      <c r="D41" s="99"/>
      <c r="E41" s="99"/>
    </row>
    <row r="42" spans="1:5" ht="20.25">
      <c r="A42" s="101" t="s">
        <v>0</v>
      </c>
      <c r="B42" s="100"/>
      <c r="C42" s="100"/>
      <c r="D42" s="100"/>
      <c r="E42" s="100"/>
    </row>
    <row r="44" ht="15">
      <c r="A44" s="102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B13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6.25">
      <c r="A1" s="562" t="s">
        <v>2</v>
      </c>
      <c r="B1" s="565"/>
      <c r="C1" s="565"/>
      <c r="D1" s="634"/>
      <c r="E1" s="562" t="s">
        <v>3</v>
      </c>
      <c r="F1" s="613" t="s">
        <v>49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0</v>
      </c>
      <c r="C15" s="620">
        <v>0</v>
      </c>
      <c r="D15" s="620">
        <v>0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0</v>
      </c>
      <c r="C16" s="620">
        <v>0</v>
      </c>
      <c r="D16" s="620">
        <v>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0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0</v>
      </c>
      <c r="C20" s="621">
        <f>C19+C18+C17+C16+C15</f>
        <v>0</v>
      </c>
      <c r="D20" s="621">
        <f>D19+D18+D17+D16+D15</f>
        <v>0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>D21-C21</f>
        <v>0</v>
      </c>
      <c r="F21" s="587">
        <f t="shared" si="1"/>
        <v>0</v>
      </c>
    </row>
    <row r="22" spans="1:6" ht="45.75">
      <c r="A22" s="591" t="s">
        <v>28</v>
      </c>
      <c r="B22" s="620">
        <v>4915632</v>
      </c>
      <c r="C22" s="620">
        <v>4780226</v>
      </c>
      <c r="D22" s="620">
        <v>5080226</v>
      </c>
      <c r="E22" s="620">
        <f>D22-C22</f>
        <v>300000</v>
      </c>
      <c r="F22" s="587">
        <f t="shared" si="1"/>
        <v>0.06275853903141818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>D23-C23</f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>D24-C24</f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>D25-C25</f>
        <v>0</v>
      </c>
      <c r="F25" s="587">
        <f t="shared" si="1"/>
        <v>0</v>
      </c>
    </row>
    <row r="26" spans="1:6" ht="45.75">
      <c r="A26" s="597" t="s">
        <v>32</v>
      </c>
      <c r="B26" s="620">
        <v>994369</v>
      </c>
      <c r="C26" s="620">
        <v>1187741</v>
      </c>
      <c r="D26" s="620">
        <v>1187741</v>
      </c>
      <c r="E26" s="620">
        <v>0</v>
      </c>
      <c r="F26" s="587">
        <f t="shared" si="1"/>
        <v>0</v>
      </c>
    </row>
    <row r="27" spans="1:6" ht="47.25">
      <c r="A27" s="598" t="s">
        <v>33</v>
      </c>
      <c r="B27" s="621">
        <f>B26+B25+B24+B23+B22+B21+B20</f>
        <v>5910001</v>
      </c>
      <c r="C27" s="621">
        <f>C26+C25+C24+C23+C22+C21+C20</f>
        <v>5967967</v>
      </c>
      <c r="D27" s="621">
        <f>D26+D25+D24+D23+D22+D21+D20</f>
        <v>6267967</v>
      </c>
      <c r="E27" s="621">
        <f>E26+E25+E24+E23+E22+E21+E20</f>
        <v>300000</v>
      </c>
      <c r="F27" s="593">
        <f t="shared" si="1"/>
        <v>0.05026837447325027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12014105</v>
      </c>
      <c r="C33" s="620">
        <v>12018275</v>
      </c>
      <c r="D33" s="620">
        <v>13018275</v>
      </c>
      <c r="E33" s="620">
        <f>D33-C33</f>
        <v>1000000</v>
      </c>
      <c r="F33" s="587">
        <f>IF(ISERROR(E33/C33),0,(E33/C33))</f>
        <v>0.08320661659015124</v>
      </c>
    </row>
    <row r="34" spans="1:6" ht="47.25">
      <c r="A34" s="592" t="s">
        <v>40</v>
      </c>
      <c r="B34" s="621">
        <f>B33+B32+B30+B29</f>
        <v>12014105</v>
      </c>
      <c r="C34" s="621">
        <f>C33+C32+C30+C29</f>
        <v>12018275</v>
      </c>
      <c r="D34" s="621">
        <f>D33+D32+D30+D29</f>
        <v>13018275</v>
      </c>
      <c r="E34" s="621">
        <f>E33+E32+E30+E29</f>
        <v>1000000</v>
      </c>
      <c r="F34" s="607">
        <f>IF(ISERROR(E34/C34),0,(E34/C34))</f>
        <v>0.08320661659015124</v>
      </c>
    </row>
    <row r="35" spans="1:6" ht="48" thickBot="1">
      <c r="A35" s="602" t="s">
        <v>41</v>
      </c>
      <c r="B35" s="626">
        <f>B34+B27+B12</f>
        <v>17924106</v>
      </c>
      <c r="C35" s="627">
        <f>C34+C27+C12</f>
        <v>17986242</v>
      </c>
      <c r="D35" s="627">
        <f>D34+D27+D12</f>
        <v>19286242</v>
      </c>
      <c r="E35" s="627">
        <f>E34+E27+E12</f>
        <v>1300000</v>
      </c>
      <c r="F35" s="608">
        <f>IF(ISERROR(E35/C35),0,(E35/C35))</f>
        <v>0.0722774662989634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B12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6.25">
      <c r="A1" s="562" t="s">
        <v>2</v>
      </c>
      <c r="B1" s="565"/>
      <c r="C1" s="565"/>
      <c r="D1" s="634"/>
      <c r="E1" s="562" t="s">
        <v>3</v>
      </c>
      <c r="F1" s="634" t="s">
        <v>50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0</v>
      </c>
      <c r="C15" s="620">
        <v>0</v>
      </c>
      <c r="D15" s="620">
        <v>0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0</v>
      </c>
      <c r="C16" s="620">
        <v>0</v>
      </c>
      <c r="D16" s="620">
        <v>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0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0</v>
      </c>
      <c r="C20" s="621">
        <f>C19+C18+C17+C16+C15</f>
        <v>0</v>
      </c>
      <c r="D20" s="621">
        <f>D19+D18+D17+D16+D15</f>
        <v>0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79797</v>
      </c>
      <c r="C22" s="620">
        <v>30000</v>
      </c>
      <c r="D22" s="620">
        <v>30000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745764</v>
      </c>
      <c r="C26" s="620">
        <f>775000+20561</f>
        <v>795561</v>
      </c>
      <c r="D26" s="620">
        <f>775000+20561</f>
        <v>795561</v>
      </c>
      <c r="E26" s="620">
        <f t="shared" si="2"/>
        <v>0</v>
      </c>
      <c r="F26" s="587">
        <f t="shared" si="1"/>
        <v>0</v>
      </c>
    </row>
    <row r="27" spans="1:6" ht="47.25">
      <c r="A27" s="598" t="s">
        <v>33</v>
      </c>
      <c r="B27" s="621">
        <f>B26+B25+B24+B23+B22+B21+B20</f>
        <v>825561</v>
      </c>
      <c r="C27" s="621">
        <f>C26+C25+C24+C23+C22+C21+C20</f>
        <v>825561</v>
      </c>
      <c r="D27" s="621">
        <f>D26+D25+D24+D23+D22+D21+D20</f>
        <v>825561</v>
      </c>
      <c r="E27" s="621">
        <f>E26+E25+E24+E23+E22+E21+E20</f>
        <v>0</v>
      </c>
      <c r="F27" s="593">
        <f t="shared" si="1"/>
        <v>0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825561</v>
      </c>
      <c r="C35" s="627">
        <f>C34+C27+C12</f>
        <v>825561</v>
      </c>
      <c r="D35" s="627">
        <f>D34+D27+D12</f>
        <v>825561</v>
      </c>
      <c r="E35" s="627">
        <f>E34+E27+E12</f>
        <v>0</v>
      </c>
      <c r="F35" s="608">
        <f>IF(ISERROR(E35/C35),0,(E35/C35))</f>
        <v>0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35" zoomScaleNormal="35" zoomScalePageLayoutView="0" workbookViewId="0" topLeftCell="A11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6.25">
      <c r="A1" s="562" t="s">
        <v>2</v>
      </c>
      <c r="B1" s="565"/>
      <c r="C1" s="565"/>
      <c r="D1" s="565"/>
      <c r="E1" s="562" t="s">
        <v>3</v>
      </c>
      <c r="F1" s="634" t="s">
        <v>197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7887654</v>
      </c>
      <c r="C15" s="620">
        <v>8002805</v>
      </c>
      <c r="D15" s="620">
        <v>8224107</v>
      </c>
      <c r="E15" s="620">
        <f>D15-C15</f>
        <v>221302</v>
      </c>
      <c r="F15" s="587">
        <f aca="true" t="shared" si="1" ref="F15:F27">IF(ISERROR(E15/C15),0,(E15/C15))</f>
        <v>0.027653054147889395</v>
      </c>
    </row>
    <row r="16" spans="1:6" ht="45.75">
      <c r="A16" s="604" t="s">
        <v>22</v>
      </c>
      <c r="B16" s="620">
        <v>1000732</v>
      </c>
      <c r="C16" s="620">
        <v>1103382</v>
      </c>
      <c r="D16" s="620">
        <v>1366125</v>
      </c>
      <c r="E16" s="620">
        <f>D16-C16</f>
        <v>262743</v>
      </c>
      <c r="F16" s="587">
        <f t="shared" si="1"/>
        <v>0.23812514614159014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272543</v>
      </c>
      <c r="C18" s="620">
        <v>272000</v>
      </c>
      <c r="D18" s="620">
        <v>276000</v>
      </c>
      <c r="E18" s="620">
        <f>D18-C18</f>
        <v>4000</v>
      </c>
      <c r="F18" s="587">
        <f t="shared" si="1"/>
        <v>0.014705882352941176</v>
      </c>
    </row>
    <row r="19" spans="1:6" ht="45.75">
      <c r="A19" s="583" t="s">
        <v>25</v>
      </c>
      <c r="B19" s="620">
        <v>78897</v>
      </c>
      <c r="C19" s="620">
        <v>62525</v>
      </c>
      <c r="D19" s="620">
        <f>36000+5000+10280+7800+4700</f>
        <v>63780</v>
      </c>
      <c r="E19" s="620">
        <f>D19-C19</f>
        <v>1255</v>
      </c>
      <c r="F19" s="587">
        <f t="shared" si="1"/>
        <v>0.020071971211515393</v>
      </c>
    </row>
    <row r="20" spans="1:6" ht="47.25">
      <c r="A20" s="595" t="s">
        <v>26</v>
      </c>
      <c r="B20" s="621">
        <f>B19+B18+B17+B16+B15</f>
        <v>9239826</v>
      </c>
      <c r="C20" s="621">
        <f>C19+C18+C17+C16+C15</f>
        <v>9440712</v>
      </c>
      <c r="D20" s="621">
        <f>D19+D18+D17+D16+D15</f>
        <v>9930012</v>
      </c>
      <c r="E20" s="621">
        <f>E19+E18+E17+E16+E15</f>
        <v>489300</v>
      </c>
      <c r="F20" s="593">
        <f t="shared" si="1"/>
        <v>0.05182871800347262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2476</v>
      </c>
      <c r="C22" s="620">
        <v>7150</v>
      </c>
      <c r="D22" s="620">
        <v>2500</v>
      </c>
      <c r="E22" s="620">
        <f t="shared" si="2"/>
        <v>-4650</v>
      </c>
      <c r="F22" s="587">
        <f t="shared" si="1"/>
        <v>-0.6503496503496503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153188</v>
      </c>
      <c r="C26" s="620">
        <v>161150</v>
      </c>
      <c r="D26" s="620">
        <v>136500</v>
      </c>
      <c r="E26" s="620">
        <f t="shared" si="2"/>
        <v>-24650</v>
      </c>
      <c r="F26" s="587">
        <f t="shared" si="1"/>
        <v>-0.15296307787775365</v>
      </c>
    </row>
    <row r="27" spans="1:6" ht="47.25">
      <c r="A27" s="598" t="s">
        <v>33</v>
      </c>
      <c r="B27" s="621">
        <f>B26+B25+B24+B23+B22+B21+B20</f>
        <v>9395490</v>
      </c>
      <c r="C27" s="621">
        <f>C26+C25+C24+C23+C22+C21+C20</f>
        <v>9609012</v>
      </c>
      <c r="D27" s="621">
        <f>D26+D25+D24+D23+D22+D21+D20</f>
        <v>10069012</v>
      </c>
      <c r="E27" s="621">
        <f>E26+E25+E24+E23+E22+E21+E20</f>
        <v>460000</v>
      </c>
      <c r="F27" s="593">
        <f t="shared" si="1"/>
        <v>0.047871727082867625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9395490</v>
      </c>
      <c r="C35" s="627">
        <f>C34+C27+C12</f>
        <v>9609012</v>
      </c>
      <c r="D35" s="627">
        <f>D34+D27+D12</f>
        <v>10069012</v>
      </c>
      <c r="E35" s="627">
        <f>E34+E27+E12</f>
        <v>460000</v>
      </c>
      <c r="F35" s="608">
        <f>IF(ISERROR(E35/C35),0,(E35/C35))</f>
        <v>0.047871727082867625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35" zoomScaleNormal="35" zoomScalePageLayoutView="0" workbookViewId="0" topLeftCell="B11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565"/>
      <c r="C1" s="565"/>
      <c r="D1" s="565"/>
      <c r="E1" s="633" t="s">
        <v>3</v>
      </c>
      <c r="F1" s="634" t="s">
        <v>198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35529924</v>
      </c>
      <c r="C9" s="620">
        <v>39169464</v>
      </c>
      <c r="D9" s="620">
        <v>39169464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35529924</v>
      </c>
      <c r="C12" s="621">
        <f>C10+C9+C8+C7+C11</f>
        <v>39169464</v>
      </c>
      <c r="D12" s="621">
        <f>D10+D9+D8+D7+D11</f>
        <v>39169464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15803605</v>
      </c>
      <c r="C15" s="620">
        <v>15144730</v>
      </c>
      <c r="D15" s="620">
        <v>15536298</v>
      </c>
      <c r="E15" s="620">
        <f>D15-C15</f>
        <v>391568</v>
      </c>
      <c r="F15" s="587">
        <f aca="true" t="shared" si="1" ref="F15:F27">IF(ISERROR(E15/C15),0,(E15/C15))</f>
        <v>0.025855066415842343</v>
      </c>
    </row>
    <row r="16" spans="1:6" ht="45.75">
      <c r="A16" s="604" t="s">
        <v>22</v>
      </c>
      <c r="B16" s="620">
        <v>856472</v>
      </c>
      <c r="C16" s="620">
        <v>912823</v>
      </c>
      <c r="D16" s="620">
        <v>802057</v>
      </c>
      <c r="E16" s="620">
        <f>D16-C16</f>
        <v>-110766</v>
      </c>
      <c r="F16" s="587">
        <f t="shared" si="1"/>
        <v>-0.12134444465137272</v>
      </c>
    </row>
    <row r="17" spans="1:6" ht="45.75">
      <c r="A17" s="605" t="s">
        <v>23</v>
      </c>
      <c r="B17" s="620">
        <v>640533</v>
      </c>
      <c r="C17" s="620">
        <v>590796</v>
      </c>
      <c r="D17" s="620">
        <v>610295</v>
      </c>
      <c r="E17" s="620">
        <f>D17-C17</f>
        <v>19499</v>
      </c>
      <c r="F17" s="587">
        <f t="shared" si="1"/>
        <v>0.03300462426962945</v>
      </c>
    </row>
    <row r="18" spans="1:6" ht="45.75">
      <c r="A18" s="605" t="s">
        <v>24</v>
      </c>
      <c r="B18" s="620">
        <v>638606</v>
      </c>
      <c r="C18" s="620">
        <v>606566</v>
      </c>
      <c r="D18" s="620">
        <v>625647</v>
      </c>
      <c r="E18" s="620">
        <f>D18-C18</f>
        <v>19081</v>
      </c>
      <c r="F18" s="587">
        <f t="shared" si="1"/>
        <v>0.03145741765941382</v>
      </c>
    </row>
    <row r="19" spans="1:6" ht="45.75">
      <c r="A19" s="583" t="s">
        <v>25</v>
      </c>
      <c r="B19" s="620">
        <v>182845</v>
      </c>
      <c r="C19" s="620">
        <v>168957</v>
      </c>
      <c r="D19" s="620">
        <v>182790</v>
      </c>
      <c r="E19" s="620">
        <f>D19-C19</f>
        <v>13833</v>
      </c>
      <c r="F19" s="587">
        <f t="shared" si="1"/>
        <v>0.08187290257284398</v>
      </c>
    </row>
    <row r="20" spans="1:6" ht="47.25">
      <c r="A20" s="595" t="s">
        <v>26</v>
      </c>
      <c r="B20" s="621">
        <f>B19+B18+B17+B16+B15</f>
        <v>18122061</v>
      </c>
      <c r="C20" s="621">
        <f>C19+C18+C17+C16+C15</f>
        <v>17423872</v>
      </c>
      <c r="D20" s="621">
        <f>D19+D18+D17+D16+D15</f>
        <v>17757087</v>
      </c>
      <c r="E20" s="621">
        <f>E19+E18+E17+E16+E15</f>
        <v>333215</v>
      </c>
      <c r="F20" s="593">
        <f t="shared" si="1"/>
        <v>0.019124050038935088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1195191</v>
      </c>
      <c r="C22" s="620">
        <v>1210359</v>
      </c>
      <c r="D22" s="620">
        <v>1210359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186695</v>
      </c>
      <c r="C26" s="620">
        <v>1101536</v>
      </c>
      <c r="D26" s="620">
        <v>1332062</v>
      </c>
      <c r="E26" s="620">
        <f t="shared" si="2"/>
        <v>230526</v>
      </c>
      <c r="F26" s="587">
        <f t="shared" si="1"/>
        <v>0.20927686430584203</v>
      </c>
    </row>
    <row r="27" spans="1:6" ht="47.25">
      <c r="A27" s="598" t="s">
        <v>33</v>
      </c>
      <c r="B27" s="621">
        <f>B26+B25+B24+B23+B22+B21+B20</f>
        <v>19503947</v>
      </c>
      <c r="C27" s="621">
        <f>C26+C25+C24+C23+C22+C21+C20</f>
        <v>19735767</v>
      </c>
      <c r="D27" s="621">
        <f>D26+D25+D24+D23+D22+D21+D20</f>
        <v>20299508</v>
      </c>
      <c r="E27" s="621">
        <f>E26+E25+E24+E23+E22+E21+E20</f>
        <v>563741</v>
      </c>
      <c r="F27" s="593">
        <f t="shared" si="1"/>
        <v>0.028564433295143788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55033871</v>
      </c>
      <c r="C35" s="627">
        <f>C34+C27+C12</f>
        <v>58905231</v>
      </c>
      <c r="D35" s="627">
        <f>D34+D27+D12</f>
        <v>59468972</v>
      </c>
      <c r="E35" s="627">
        <f>E34+E27+E12</f>
        <v>563741</v>
      </c>
      <c r="F35" s="608">
        <f>IF(ISERROR(E35/C35),0,(E35/C35))</f>
        <v>0.009570304545618368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35" zoomScaleNormal="35" zoomScalePageLayoutView="0" workbookViewId="0" topLeftCell="B1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9.6640625" style="612" customWidth="1"/>
    <col min="6" max="6" width="47.77734375" style="571" customWidth="1"/>
    <col min="7" max="16384" width="9.6640625" style="565" customWidth="1"/>
  </cols>
  <sheetData>
    <row r="1" spans="1:6" ht="56.25">
      <c r="A1" s="562" t="s">
        <v>2</v>
      </c>
      <c r="B1" s="565"/>
      <c r="C1" s="565"/>
      <c r="D1" s="562" t="s">
        <v>3</v>
      </c>
      <c r="E1" s="634" t="s">
        <v>199</v>
      </c>
      <c r="F1" s="634"/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 t="s">
        <v>11</v>
      </c>
      <c r="B4" s="615" t="s">
        <v>44</v>
      </c>
      <c r="C4" s="616" t="s">
        <v>45</v>
      </c>
      <c r="D4" s="616" t="s">
        <v>45</v>
      </c>
      <c r="E4" s="617" t="s">
        <v>46</v>
      </c>
      <c r="F4" s="579" t="s">
        <v>1</v>
      </c>
    </row>
    <row r="5" spans="1:6" s="75" customFormat="1" ht="57.75" thickBot="1">
      <c r="A5" s="652"/>
      <c r="B5" s="653" t="s">
        <v>70</v>
      </c>
      <c r="C5" s="653" t="s">
        <v>70</v>
      </c>
      <c r="D5" s="653" t="s">
        <v>201</v>
      </c>
      <c r="E5" s="653" t="s">
        <v>70</v>
      </c>
      <c r="F5" s="653" t="s">
        <v>196</v>
      </c>
    </row>
    <row r="6" spans="1:6" ht="50.25" thickTop="1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v>0</v>
      </c>
      <c r="F11" s="587">
        <f t="shared" si="0"/>
        <v>0</v>
      </c>
    </row>
    <row r="12" spans="1:6" ht="47.25">
      <c r="A12" s="589" t="s">
        <v>18</v>
      </c>
      <c r="B12" s="621">
        <v>0</v>
      </c>
      <c r="C12" s="621">
        <v>0</v>
      </c>
      <c r="D12" s="621">
        <v>0</v>
      </c>
      <c r="E12" s="621"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0</v>
      </c>
      <c r="C15" s="620">
        <v>0</v>
      </c>
      <c r="D15" s="620">
        <v>0</v>
      </c>
      <c r="E15" s="620"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0</v>
      </c>
      <c r="C16" s="620">
        <v>0</v>
      </c>
      <c r="D16" s="620">
        <v>0</v>
      </c>
      <c r="E16" s="620"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v>0</v>
      </c>
      <c r="F18" s="587">
        <f t="shared" si="1"/>
        <v>0</v>
      </c>
    </row>
    <row r="19" spans="1:6" ht="45.75">
      <c r="A19" s="583" t="s">
        <v>25</v>
      </c>
      <c r="B19" s="620">
        <v>0</v>
      </c>
      <c r="C19" s="620">
        <v>0</v>
      </c>
      <c r="D19" s="620">
        <v>0</v>
      </c>
      <c r="E19" s="620">
        <v>0</v>
      </c>
      <c r="F19" s="587">
        <f t="shared" si="1"/>
        <v>0</v>
      </c>
    </row>
    <row r="20" spans="1:6" ht="47.25">
      <c r="A20" s="595" t="s">
        <v>26</v>
      </c>
      <c r="B20" s="621">
        <v>0</v>
      </c>
      <c r="C20" s="621">
        <v>0</v>
      </c>
      <c r="D20" s="621">
        <v>0</v>
      </c>
      <c r="E20" s="621"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0</v>
      </c>
      <c r="D22" s="620">
        <v>0</v>
      </c>
      <c r="E22" s="620"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v>0</v>
      </c>
      <c r="F25" s="587">
        <f t="shared" si="1"/>
        <v>0</v>
      </c>
    </row>
    <row r="26" spans="1:6" ht="45.75">
      <c r="A26" s="597" t="s">
        <v>32</v>
      </c>
      <c r="B26" s="620">
        <v>0</v>
      </c>
      <c r="C26" s="620">
        <v>0</v>
      </c>
      <c r="D26" s="620">
        <v>0</v>
      </c>
      <c r="E26" s="620">
        <v>0</v>
      </c>
      <c r="F26" s="587">
        <f t="shared" si="1"/>
        <v>0</v>
      </c>
    </row>
    <row r="27" spans="1:6" ht="47.25">
      <c r="A27" s="598" t="s">
        <v>33</v>
      </c>
      <c r="B27" s="621">
        <v>0</v>
      </c>
      <c r="C27" s="621">
        <v>0</v>
      </c>
      <c r="D27" s="621">
        <v>0</v>
      </c>
      <c r="E27" s="621">
        <v>0</v>
      </c>
      <c r="F27" s="593">
        <f t="shared" si="1"/>
        <v>0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v>0</v>
      </c>
      <c r="F33" s="587">
        <f>IF(ISERROR(E33/C33),0,(E33/C33))</f>
        <v>0</v>
      </c>
    </row>
    <row r="34" spans="1:6" ht="47.25">
      <c r="A34" s="592" t="s">
        <v>40</v>
      </c>
      <c r="B34" s="621">
        <v>0</v>
      </c>
      <c r="C34" s="621">
        <v>0</v>
      </c>
      <c r="D34" s="621">
        <v>0</v>
      </c>
      <c r="E34" s="621"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v>0</v>
      </c>
      <c r="C35" s="627">
        <v>0</v>
      </c>
      <c r="D35" s="627">
        <v>0</v>
      </c>
      <c r="E35" s="627">
        <v>0</v>
      </c>
      <c r="F35" s="608">
        <f>IF(ISERROR(E35/C35),0,(E35/C35))</f>
        <v>0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35" zoomScaleNormal="35" zoomScalePageLayoutView="0" workbookViewId="0" topLeftCell="B13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4.55468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E1" s="631" t="s">
        <v>3</v>
      </c>
      <c r="F1" s="564" t="s">
        <v>185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/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ht="56.25">
      <c r="A5" s="580" t="s">
        <v>11</v>
      </c>
      <c r="B5" s="618" t="s">
        <v>70</v>
      </c>
      <c r="C5" s="618" t="s">
        <v>202</v>
      </c>
      <c r="D5" s="618" t="s">
        <v>201</v>
      </c>
      <c r="E5" s="618" t="s">
        <v>70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f>SUBR!B7+SULAW!B7+SUNO!B7+SUSBO!B7+SUBOS!B7+SUAG!B7</f>
        <v>0</v>
      </c>
      <c r="C7" s="620">
        <f>SUBR!C7+SULAW!C7+SUNO!C7+SUSBO!C7+SUBOS!C7+SUAG!C7</f>
        <v>0</v>
      </c>
      <c r="D7" s="620">
        <f>SUBR!D7+SULAW!D7+SUNO!D7+SUSBO!D7+SUBOS!D7+SUAG!D7</f>
        <v>0</v>
      </c>
      <c r="E7" s="620">
        <f>SUBR!E7+SULAW!E7+SUNO!E7+SUSBO!E7+SUBOS!E7+SUAG!E7</f>
        <v>0</v>
      </c>
      <c r="F7" s="588"/>
    </row>
    <row r="8" spans="1:6" ht="45.75">
      <c r="A8" s="584" t="s">
        <v>14</v>
      </c>
      <c r="B8" s="620">
        <f>SUBR!B8+SULAW!B8+SUNO!B8+SUSBO!B8+SUBOS!B8+SUAG!B8</f>
        <v>0</v>
      </c>
      <c r="C8" s="620">
        <f>SUBR!C8+SULAW!C8+SUNO!C8+SUSBO!C8+SUBOS!C8+SUAG!C8</f>
        <v>0</v>
      </c>
      <c r="D8" s="620">
        <f>SUBR!D8+SULAW!D8+SUNO!D8+SUSBO!D8+SUBOS!D8+SUAG!D8</f>
        <v>0</v>
      </c>
      <c r="E8" s="620">
        <f>SUBR!E8+SULAW!E8+SUNO!E8+SUSBO!E8+SUBOS!E8+SUAG!E8</f>
        <v>0</v>
      </c>
      <c r="F8" s="587">
        <f>IF(ISERROR(E8/C8),0,(E8/C8))</f>
        <v>0</v>
      </c>
    </row>
    <row r="9" spans="1:6" ht="45.75">
      <c r="A9" s="585" t="s">
        <v>15</v>
      </c>
      <c r="B9" s="620">
        <f>SUBR!B9+SULAW!B9+SUNO!B9+SUSBO!B9+SUBOS!B9+SUAG!B9</f>
        <v>0</v>
      </c>
      <c r="C9" s="620">
        <f>SUBR!C9+SULAW!C9+SUNO!C9+SUSBO!C9+SUBOS!C9+SUAG!C9</f>
        <v>0</v>
      </c>
      <c r="D9" s="620">
        <f>SUBR!D9+SULAW!D9+SUNO!D9+SUSBO!D9+SUBOS!D9+SUAG!D9</f>
        <v>0</v>
      </c>
      <c r="E9" s="620">
        <f>SUBR!E9+SULAW!E9+SUNO!E9+SUSBO!E9+SUBOS!E9+SUAG!E9</f>
        <v>0</v>
      </c>
      <c r="F9" s="587">
        <f>IF(ISERROR(E9/C9),0,(E9/C9))</f>
        <v>0</v>
      </c>
    </row>
    <row r="10" spans="1:6" ht="45.75">
      <c r="A10" s="586" t="s">
        <v>16</v>
      </c>
      <c r="B10" s="620">
        <f>SUBR!B10+SULAW!B10+SUNO!B10+SUSBO!B10+SUBOS!B10+SUAG!B10</f>
        <v>2044238</v>
      </c>
      <c r="C10" s="620">
        <f>SUBR!C10+SULAW!C10+SUNO!C10+SUSBO!C10+SUBOS!C10+SUAG!C10</f>
        <v>1928476</v>
      </c>
      <c r="D10" s="620">
        <f>SUBR!D10+SULAW!D10+SUNO!D10+SUSBO!D10+SUBOS!D10+SUAG!D10</f>
        <v>1971188</v>
      </c>
      <c r="E10" s="620">
        <f>SUBR!E10+SULAW!E10+SUNO!E10+SUSBO!E10+SUBOS!E10+SUAG!E10</f>
        <v>42712</v>
      </c>
      <c r="F10" s="587">
        <f>IF(ISERROR(E10/C10),0,(E10/C10))</f>
        <v>0.02214805888172837</v>
      </c>
    </row>
    <row r="11" spans="1:6" ht="45.75">
      <c r="A11" s="586" t="s">
        <v>17</v>
      </c>
      <c r="B11" s="620">
        <f>SUBR!B11+SULAW!B11+SUNO!B11+SUSBO!B11+SUBOS!B11+SUAG!B11</f>
        <v>34146</v>
      </c>
      <c r="C11" s="620">
        <f>SUBR!C11+SULAW!C11+SUNO!C11+SUSBO!C11+SUBOS!C11+SUAG!C11</f>
        <v>210000</v>
      </c>
      <c r="D11" s="620">
        <f>SUBR!D11+SULAW!D11+SUNO!D11+SUSBO!D11+SUBOS!D11+SUAG!D11</f>
        <v>210000</v>
      </c>
      <c r="E11" s="620">
        <f>SUBR!E11+SULAW!E11+SUNO!E11+SUSBO!E11+SUBOS!E11+SUAG!E11</f>
        <v>0</v>
      </c>
      <c r="F11" s="587">
        <f>IF(ISERROR(E11/C11),0,(E11/C11))</f>
        <v>0</v>
      </c>
    </row>
    <row r="12" spans="1:6" ht="47.25">
      <c r="A12" s="589" t="s">
        <v>18</v>
      </c>
      <c r="B12" s="621">
        <f>SUBR!B12+SULAW!B12+SUNO!B12+SUSBO!B12+SUBOS!B12+SUAG!B12</f>
        <v>2078384</v>
      </c>
      <c r="C12" s="621">
        <f>SUBR!C12+SULAW!C12+SUNO!C12+SUSBO!C12+SUBOS!C12+SUAG!C12</f>
        <v>2138476</v>
      </c>
      <c r="D12" s="621">
        <f>SUBR!D12+SULAW!D12+SUNO!D12+SUSBO!D12+SUBOS!D12+SUAG!D12</f>
        <v>2181188</v>
      </c>
      <c r="E12" s="621">
        <f>SUBR!E12+SULAW!E12+SUNO!E12+SUSBO!E12+SUBOS!E12+SUAG!E12</f>
        <v>42712</v>
      </c>
      <c r="F12" s="593">
        <f>IF(ISERROR(E12/C12),0,(E12/C12))</f>
        <v>0.019973102340171224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f>SUBR!B15+SULAW!B15+SUNO!B15+SUSBO!B15+SUBOS!B15+SUAG!B15</f>
        <v>29963953</v>
      </c>
      <c r="C15" s="620">
        <f>SUBR!C15+SULAW!C15+SUNO!C15+SUSBO!C15+SUBOS!C15+SUAG!C15</f>
        <v>33294442</v>
      </c>
      <c r="D15" s="620">
        <f>SUBR!D15+SULAW!D15+SUNO!D15+SUSBO!D15+SUBOS!D15+SUAG!D15</f>
        <v>32692608</v>
      </c>
      <c r="E15" s="620">
        <f>SUBR!E15+SULAW!E15+SUNO!E15+SUSBO!E15+SUBOS!E15+SUAG!E15</f>
        <v>-601834</v>
      </c>
      <c r="F15" s="587">
        <f aca="true" t="shared" si="0" ref="F15:F27">IF(ISERROR(E15/C15),0,(E15/C15))</f>
        <v>-0.01807611012072225</v>
      </c>
    </row>
    <row r="16" spans="1:6" ht="45.75">
      <c r="A16" s="604" t="s">
        <v>22</v>
      </c>
      <c r="B16" s="620">
        <f>SUBR!B16+SULAW!B16+SUNO!B16+SUSBO!B16+SUBOS!B16+SUAG!B16</f>
        <v>6263731</v>
      </c>
      <c r="C16" s="620">
        <f>SUBR!C16+SULAW!C16+SUNO!C16+SUSBO!C16+SUBOS!C16+SUAG!C16</f>
        <v>6339930</v>
      </c>
      <c r="D16" s="620">
        <f>SUBR!D16+SULAW!D16+SUNO!D16+SUSBO!D16+SUBOS!D16+SUAG!D16</f>
        <v>6349930</v>
      </c>
      <c r="E16" s="620">
        <f>SUBR!E16+SULAW!E16+SUNO!E16+SUSBO!E16+SUBOS!E16+SUAG!E16</f>
        <v>10000</v>
      </c>
      <c r="F16" s="587">
        <f t="shared" si="0"/>
        <v>0.0015773044812797618</v>
      </c>
    </row>
    <row r="17" spans="1:6" ht="45.75">
      <c r="A17" s="605" t="s">
        <v>23</v>
      </c>
      <c r="B17" s="620">
        <f>SUBR!B17+SULAW!B17+SUNO!B17+SUSBO!B17+SUBOS!B17+SUAG!B17</f>
        <v>2511618</v>
      </c>
      <c r="C17" s="620">
        <f>SUBR!C17+SULAW!C17+SUNO!C17+SUSBO!C17+SUBOS!C17+SUAG!C17</f>
        <v>2678317</v>
      </c>
      <c r="D17" s="620">
        <f>SUBR!D17+SULAW!D17+SUNO!D17+SUSBO!D17+SUBOS!D17+SUAG!D17</f>
        <v>2741317</v>
      </c>
      <c r="E17" s="620">
        <f>SUBR!E17+SULAW!E17+SUNO!E17+SUSBO!E17+SUBOS!E17+SUAG!E17</f>
        <v>63000</v>
      </c>
      <c r="F17" s="587">
        <f t="shared" si="0"/>
        <v>0.02352223429862858</v>
      </c>
    </row>
    <row r="18" spans="1:6" ht="45.75">
      <c r="A18" s="605" t="s">
        <v>24</v>
      </c>
      <c r="B18" s="620">
        <f>SUBR!B18+SULAW!B18+SUNO!B18+SUSBO!B18+SUBOS!B18+SUAG!B18</f>
        <v>986812</v>
      </c>
      <c r="C18" s="620">
        <f>SUBR!C18+SULAW!C18+SUNO!C18+SUSBO!C18+SUBOS!C18+SUAG!C18</f>
        <v>1036525</v>
      </c>
      <c r="D18" s="620">
        <f>SUBR!D18+SULAW!D18+SUNO!D18+SUSBO!D18+SUBOS!D18+SUAG!D18</f>
        <v>1036525</v>
      </c>
      <c r="E18" s="620">
        <f>SUBR!E18+SULAW!E18+SUNO!E18+SUSBO!E18+SUBOS!E18+SUAG!E18</f>
        <v>0</v>
      </c>
      <c r="F18" s="587">
        <f t="shared" si="0"/>
        <v>0</v>
      </c>
    </row>
    <row r="19" spans="1:6" ht="45.75">
      <c r="A19" s="583" t="s">
        <v>25</v>
      </c>
      <c r="B19" s="620">
        <f>SUBR!B19+SULAW!B19+SUNO!B19+SUSBO!B19+SUBOS!B19+SUAG!B19</f>
        <v>-211556</v>
      </c>
      <c r="C19" s="620">
        <f>SUBR!C19+SULAW!C19+SUNO!C19+SUSBO!C19+SUBOS!C19+SUAG!C19</f>
        <v>100000</v>
      </c>
      <c r="D19" s="620">
        <f>SUBR!D19+SULAW!D19+SUNO!D19+SUSBO!D19+SUBOS!D19+SUAG!D19</f>
        <v>100000</v>
      </c>
      <c r="E19" s="620">
        <f>SUBR!E19+SULAW!E19+SUNO!E19+SUSBO!E19+SUBOS!E19+SUAG!E19</f>
        <v>0</v>
      </c>
      <c r="F19" s="587">
        <f t="shared" si="0"/>
        <v>0</v>
      </c>
    </row>
    <row r="20" spans="1:6" ht="47.25">
      <c r="A20" s="595" t="s">
        <v>26</v>
      </c>
      <c r="B20" s="621">
        <f>SUBR!B20+SULAW!B20+SUNO!B20+SUSBO!B20+SUBOS!B20+SUAG!B20</f>
        <v>39514558</v>
      </c>
      <c r="C20" s="621">
        <f>SUBR!C20+SULAW!C20+SUNO!C20+SUSBO!C20+SUBOS!C20+SUAG!C20</f>
        <v>43449214</v>
      </c>
      <c r="D20" s="621">
        <f>SUBR!D20+SULAW!D20+SUNO!D20+SUSBO!D20+SUBOS!D20+SUAG!D20</f>
        <v>42920380</v>
      </c>
      <c r="E20" s="621">
        <f>SUBR!E20+SULAW!E20+SUNO!E20+SUSBO!E20+SUBOS!E20+SUAG!E20</f>
        <v>-528834</v>
      </c>
      <c r="F20" s="593">
        <f t="shared" si="0"/>
        <v>-0.012171313386704763</v>
      </c>
    </row>
    <row r="21" spans="1:6" ht="45.75">
      <c r="A21" s="596" t="s">
        <v>27</v>
      </c>
      <c r="B21" s="620">
        <f>SUBR!B21+SULAW!B21+SUNO!B21+SUSBO!B21+SUBOS!B21+SUAG!B21</f>
        <v>0</v>
      </c>
      <c r="C21" s="620">
        <f>SUBR!C21+SULAW!C21+SUNO!C21+SUSBO!C21+SUBOS!C21+SUAG!C21</f>
        <v>849000</v>
      </c>
      <c r="D21" s="620">
        <f>SUBR!D21+SULAW!D21+SUNO!D21+SUSBO!D21+SUBOS!D21+SUAG!D21</f>
        <v>1000000</v>
      </c>
      <c r="E21" s="620">
        <f>SUBR!E21+SULAW!E21+SUNO!E21+SUSBO!E21+SUBOS!E21+SUAG!E21</f>
        <v>151000</v>
      </c>
      <c r="F21" s="587">
        <f t="shared" si="0"/>
        <v>0.17785630153121318</v>
      </c>
    </row>
    <row r="22" spans="1:6" ht="45.75">
      <c r="A22" s="591" t="s">
        <v>28</v>
      </c>
      <c r="B22" s="620">
        <f>SUBR!B22+SULAW!B22+SUNO!B22+SUSBO!B22+SUBOS!B22+SUAG!B22</f>
        <v>26839</v>
      </c>
      <c r="C22" s="620">
        <f>SUBR!C22+SULAW!C22+SUNO!C22+SUSBO!C22+SUBOS!C22+SUAG!C22</f>
        <v>538350</v>
      </c>
      <c r="D22" s="620">
        <f>SUBR!D22+SULAW!D22+SUNO!D22+SUSBO!D22+SUBOS!D22+SUAG!D22</f>
        <v>544350</v>
      </c>
      <c r="E22" s="620">
        <f>SUBR!E22+SULAW!E22+SUNO!E22+SUSBO!E22+SUBOS!E22+SUAG!E22</f>
        <v>6000</v>
      </c>
      <c r="F22" s="587">
        <f t="shared" si="0"/>
        <v>0.011145165784341042</v>
      </c>
    </row>
    <row r="23" spans="1:6" ht="45.75">
      <c r="A23" s="597" t="s">
        <v>29</v>
      </c>
      <c r="B23" s="620">
        <f>SUBR!B23+SULAW!B23+SUNO!B23+SUSBO!B23+SUBOS!B23+SUAG!B23</f>
        <v>0</v>
      </c>
      <c r="C23" s="620">
        <f>SUBR!C23+SULAW!C23+SUNO!C23+SUSBO!C23+SUBOS!C23+SUAG!C23</f>
        <v>0</v>
      </c>
      <c r="D23" s="620">
        <f>SUBR!D23+SULAW!D23+SUNO!D23+SUSBO!D23+SUBOS!D23+SUAG!D23</f>
        <v>0</v>
      </c>
      <c r="E23" s="620">
        <f>SUBR!E23+SULAW!E23+SUNO!E23+SUSBO!E23+SUBOS!E23+SUAG!E23</f>
        <v>0</v>
      </c>
      <c r="F23" s="587">
        <f t="shared" si="0"/>
        <v>0</v>
      </c>
    </row>
    <row r="24" spans="1:6" ht="45.75">
      <c r="A24" s="585" t="s">
        <v>30</v>
      </c>
      <c r="B24" s="620">
        <f>SUBR!B24+SULAW!B24+SUNO!B24+SUSBO!B24+SUBOS!B24+SUAG!B24</f>
        <v>0</v>
      </c>
      <c r="C24" s="620">
        <f>SUBR!C24+SULAW!C24+SUNO!C24+SUSBO!C24+SUBOS!C24+SUAG!C24</f>
        <v>0</v>
      </c>
      <c r="D24" s="620">
        <f>SUBR!D24+SULAW!D24+SUNO!D24+SUSBO!D24+SUBOS!D24+SUAG!D24</f>
        <v>0</v>
      </c>
      <c r="E24" s="620">
        <f>SUBR!E24+SULAW!E24+SUNO!E24+SUSBO!E24+SUBOS!E24+SUAG!E24</f>
        <v>0</v>
      </c>
      <c r="F24" s="587">
        <f t="shared" si="0"/>
        <v>0</v>
      </c>
    </row>
    <row r="25" spans="1:6" ht="45.75">
      <c r="A25" s="591" t="s">
        <v>31</v>
      </c>
      <c r="B25" s="620">
        <f>SUBR!B25+SULAW!B25+SUNO!B25+SUSBO!B25+SUBOS!B25+SUAG!B25</f>
        <v>0</v>
      </c>
      <c r="C25" s="620">
        <f>SUBR!C25+SULAW!C25+SUNO!C25+SUSBO!C25+SUBOS!C25+SUAG!C25</f>
        <v>0</v>
      </c>
      <c r="D25" s="620">
        <f>SUBR!D25+SULAW!D25+SUNO!D25+SUSBO!D25+SUBOS!D25+SUAG!D25</f>
        <v>0</v>
      </c>
      <c r="E25" s="620">
        <f>SUBR!E25+SULAW!E25+SUNO!E25+SUSBO!E25+SUBOS!E25+SUAG!E25</f>
        <v>0</v>
      </c>
      <c r="F25" s="587">
        <f t="shared" si="0"/>
        <v>0</v>
      </c>
    </row>
    <row r="26" spans="1:6" ht="45.75">
      <c r="A26" s="597" t="s">
        <v>32</v>
      </c>
      <c r="B26" s="620">
        <f>SUBR!B26+SULAW!B26+SUNO!B26+SUSBO!B26+SUBOS!B26+SUAG!B26</f>
        <v>9371918</v>
      </c>
      <c r="C26" s="620">
        <f>SUBR!C26+SULAW!C26+SUNO!C26+SUSBO!C26+SUBOS!C26+SUAG!C26</f>
        <v>4744547</v>
      </c>
      <c r="D26" s="620">
        <f>SUBR!D26+SULAW!D26+SUNO!D26+SUSBO!D26+SUBOS!D26+SUAG!D26</f>
        <v>5082128</v>
      </c>
      <c r="E26" s="620">
        <f>SUBR!E26+SULAW!E26+SUNO!E26+SUSBO!E26+SUBOS!E26+SUAG!E26</f>
        <v>337581</v>
      </c>
      <c r="F26" s="587">
        <f t="shared" si="0"/>
        <v>0.07115136597866983</v>
      </c>
    </row>
    <row r="27" spans="1:6" ht="47.25">
      <c r="A27" s="598" t="s">
        <v>33</v>
      </c>
      <c r="B27" s="621">
        <f>SUBR!B27+SULAW!B27+SUNO!B27+SUSBO!B27+SUBOS!B27+SUAG!B27</f>
        <v>48913315</v>
      </c>
      <c r="C27" s="621">
        <f>SUBR!C27+SULAW!C27+SUNO!C27+SUSBO!C27+SUBOS!C27+SUAG!C27</f>
        <v>49581111</v>
      </c>
      <c r="D27" s="621">
        <f>SUBR!D27+SULAW!D27+SUNO!D27+SUSBO!D27+SUBOS!D27+SUAG!D27</f>
        <v>49546858</v>
      </c>
      <c r="E27" s="621">
        <f>SUBR!E27+SULAW!E27+SUNO!E27+SUSBO!E27+SUBOS!E27+SUAG!E27</f>
        <v>-34253</v>
      </c>
      <c r="F27" s="593">
        <f t="shared" si="0"/>
        <v>-0.0006908477706358779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f>SUBR!B29+SULAW!B29+SUNO!B29+SUSBO!B29+SUBOS!B29+SUAG!B29</f>
        <v>3036771</v>
      </c>
      <c r="C29" s="620">
        <f>SUBR!C29+SULAW!C29+SUNO!C29+SUSBO!C29+SUBOS!C29+SUAG!C29</f>
        <v>3036036</v>
      </c>
      <c r="D29" s="620">
        <f>SUBR!D29+SULAW!D29+SUNO!D29+SUSBO!D29+SUBOS!D29+SUAG!D29</f>
        <v>3036211</v>
      </c>
      <c r="E29" s="620">
        <f>SUBR!E29+SULAW!E29+SUNO!E29+SUSBO!E29+SUBOS!E29+SUAG!E29</f>
        <v>175</v>
      </c>
      <c r="F29" s="587">
        <f>IF(ISERROR(E29/C29),0,(E29/C29))</f>
        <v>5.764095023906172E-05</v>
      </c>
    </row>
    <row r="30" spans="1:6" ht="45.75">
      <c r="A30" s="584" t="s">
        <v>36</v>
      </c>
      <c r="B30" s="620">
        <f>SUBR!B30+SULAW!B30+SUNO!B30+SUSBO!B30+SUBOS!B30+SUAG!B30</f>
        <v>0</v>
      </c>
      <c r="C30" s="620">
        <f>SUBR!C30+SULAW!C30+SUNO!C30+SUSBO!C30+SUBOS!C30+SUAG!C30</f>
        <v>0</v>
      </c>
      <c r="D30" s="620">
        <f>SUBR!D30+SULAW!D30+SUNO!D30+SUSBO!D30+SUBOS!D30+SUAG!D30</f>
        <v>0</v>
      </c>
      <c r="E30" s="620">
        <f>SUBR!E30+SULAW!E30+SUNO!E30+SUSBO!E30+SUBOS!E30+SUAG!E30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f>SUBR!B32+SULAW!B32+SUNO!B32+SUSBO!B32+SUBOS!B32+SUAG!B32</f>
        <v>0</v>
      </c>
      <c r="C32" s="620">
        <f>SUBR!C32+SULAW!C32+SUNO!C32+SUSBO!C32+SUBOS!C32+SUAG!C32</f>
        <v>0</v>
      </c>
      <c r="D32" s="620">
        <f>SUBR!D32+SULAW!D32+SUNO!D32+SUSBO!D32+SUBOS!D32+SUAG!D32</f>
        <v>0</v>
      </c>
      <c r="E32" s="620">
        <f>SUBR!E32+SULAW!E32+SUNO!E32+SUSBO!E32+SUBOS!E32+SUAG!E32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f>SUBR!B33+SULAW!B33+SUNO!B33+SUSBO!B33+SUBOS!B33+SUAG!B33</f>
        <v>0</v>
      </c>
      <c r="C33" s="620">
        <f>SUBR!C33+SULAW!C33+SUNO!C33+SUSBO!C33+SUBOS!C33+SUAG!C33</f>
        <v>0</v>
      </c>
      <c r="D33" s="620">
        <f>SUBR!D33+SULAW!D33+SUNO!D33+SUSBO!D33+SUBOS!D33+SUAG!D33</f>
        <v>0</v>
      </c>
      <c r="E33" s="620">
        <f>SUBR!E33+SULAW!E33+SUNO!E33+SUSBO!E33+SUBOS!E33+SUAG!E33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SUBR!B34+SULAW!B34+SUNO!B34+SUSBO!B34+SUBOS!B34+SUAG!B34</f>
        <v>3036771</v>
      </c>
      <c r="C34" s="621">
        <f>SUBR!C34+SULAW!C34+SUNO!C34+SUSBO!C34+SUBOS!C34+SUAG!C34</f>
        <v>3036036</v>
      </c>
      <c r="D34" s="621">
        <f>SUBR!D34+SULAW!D34+SUNO!D34+SUSBO!D34+SUBOS!D34+SUAG!D34</f>
        <v>3036211</v>
      </c>
      <c r="E34" s="621">
        <f>SUBR!E34+SULAW!E34+SUNO!E34+SUSBO!E34+SUBOS!E34+SUAG!E34</f>
        <v>175</v>
      </c>
      <c r="F34" s="607">
        <f>IF(ISERROR(E34/C34),0,(E34/C34))</f>
        <v>5.764095023906172E-05</v>
      </c>
    </row>
    <row r="35" spans="1:6" ht="48" thickBot="1">
      <c r="A35" s="602" t="s">
        <v>41</v>
      </c>
      <c r="B35" s="626">
        <f>SUBR!B35+SULAW!B35+SUNO!B35+SUSBO!B35+SUBOS!B35+SUAG!B35</f>
        <v>54028470</v>
      </c>
      <c r="C35" s="627">
        <f>SUBR!C35+SULAW!C35+SUNO!C35+SUSBO!C35+SUBOS!C35+SUAG!C35</f>
        <v>54755623</v>
      </c>
      <c r="D35" s="627">
        <f>SUBR!D35+SULAW!D35+SUNO!D35+SUSBO!D35+SUBOS!D35+SUAG!D35</f>
        <v>54764257</v>
      </c>
      <c r="E35" s="627">
        <f>SUBR!E35+SULAW!E35+SUNO!E35+SUSBO!E35+SUBOS!E35+SUAG!E35</f>
        <v>8634</v>
      </c>
      <c r="F35" s="608">
        <f>IF(ISERROR(E35/C35),0,(E35/C35))</f>
        <v>0.0001576824356468376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A10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7.777343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E1" s="613" t="s">
        <v>3</v>
      </c>
      <c r="F1" s="563" t="s">
        <v>186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" thickTop="1">
      <c r="A4" s="580" t="s">
        <v>11</v>
      </c>
      <c r="B4" s="618" t="s">
        <v>70</v>
      </c>
      <c r="C4" s="618" t="s">
        <v>202</v>
      </c>
      <c r="D4" s="618" t="s">
        <v>201</v>
      </c>
      <c r="E4" s="618" t="s">
        <v>70</v>
      </c>
      <c r="F4" s="581" t="s">
        <v>6</v>
      </c>
    </row>
    <row r="5" spans="1:6" ht="56.25">
      <c r="A5" s="580" t="s">
        <v>11</v>
      </c>
      <c r="B5" s="618" t="s">
        <v>64</v>
      </c>
      <c r="C5" s="618" t="s">
        <v>71</v>
      </c>
      <c r="D5" s="618" t="s">
        <v>70</v>
      </c>
      <c r="E5" s="618" t="s">
        <v>64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0</v>
      </c>
      <c r="C15" s="620">
        <v>0</v>
      </c>
      <c r="D15" s="620">
        <v>0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0</v>
      </c>
      <c r="C16" s="620">
        <v>0</v>
      </c>
      <c r="D16" s="620">
        <v>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0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0</v>
      </c>
      <c r="C20" s="621">
        <f>C19+C18+C17+C16+C15</f>
        <v>0</v>
      </c>
      <c r="D20" s="621">
        <f>D19+D18+D17+D16+D15</f>
        <v>0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0</v>
      </c>
      <c r="D22" s="620">
        <v>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6724</v>
      </c>
      <c r="C26" s="620">
        <v>0</v>
      </c>
      <c r="D26" s="620">
        <v>0</v>
      </c>
      <c r="E26" s="620">
        <f t="shared" si="2"/>
        <v>0</v>
      </c>
      <c r="F26" s="587">
        <f t="shared" si="1"/>
        <v>0</v>
      </c>
    </row>
    <row r="27" spans="1:6" ht="47.25">
      <c r="A27" s="598" t="s">
        <v>33</v>
      </c>
      <c r="B27" s="621">
        <f>B26+B25+B24+B23+B22+B21+B20</f>
        <v>6724</v>
      </c>
      <c r="C27" s="621">
        <f>C26+C25+C24+C23+C22+C21+C20</f>
        <v>0</v>
      </c>
      <c r="D27" s="621">
        <f>D26+D25+D24+D23+D22+D21+D20</f>
        <v>0</v>
      </c>
      <c r="E27" s="621">
        <f>E26+E25+E24+E23+E22+E21+E20</f>
        <v>0</v>
      </c>
      <c r="F27" s="593">
        <f t="shared" si="1"/>
        <v>0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3036036</v>
      </c>
      <c r="C29" s="620">
        <v>3036036</v>
      </c>
      <c r="D29" s="620">
        <v>3036211</v>
      </c>
      <c r="E29" s="620">
        <f>D29-C29</f>
        <v>175</v>
      </c>
      <c r="F29" s="587">
        <f>IF(ISERROR(E29/C29),0,(E29/C29))</f>
        <v>5.764095023906172E-05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3036036</v>
      </c>
      <c r="C34" s="621">
        <f>C33+C32+C30+C29</f>
        <v>3036036</v>
      </c>
      <c r="D34" s="621">
        <f>D33+D32+D30+D29</f>
        <v>3036211</v>
      </c>
      <c r="E34" s="621">
        <f>E33+E32+E30+E29</f>
        <v>175</v>
      </c>
      <c r="F34" s="607">
        <f>IF(ISERROR(E34/C34),0,(E34/C34))</f>
        <v>5.764095023906172E-05</v>
      </c>
    </row>
    <row r="35" spans="1:6" ht="48" thickBot="1">
      <c r="A35" s="602" t="s">
        <v>41</v>
      </c>
      <c r="B35" s="626">
        <f>B34+B27+B12</f>
        <v>3042760</v>
      </c>
      <c r="C35" s="627">
        <f>C34+C27+C12</f>
        <v>3036036</v>
      </c>
      <c r="D35" s="627">
        <f>D34+D27+D12</f>
        <v>3036211</v>
      </c>
      <c r="E35" s="627">
        <f>E34+E27+E12</f>
        <v>175</v>
      </c>
      <c r="F35" s="608">
        <f>IF(ISERROR(E35/C35),0,(E35/C35))</f>
        <v>5.764095023906172E-05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35" zoomScaleNormal="35" zoomScalePageLayoutView="0" workbookViewId="0" topLeftCell="B4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63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6" ht="36" thickTop="1">
      <c r="A4" s="34" t="s">
        <v>11</v>
      </c>
      <c r="B4" s="72" t="s">
        <v>44</v>
      </c>
      <c r="C4" s="72" t="s">
        <v>45</v>
      </c>
      <c r="D4" s="72" t="s">
        <v>45</v>
      </c>
      <c r="E4" s="73" t="s">
        <v>46</v>
      </c>
      <c r="F4" s="74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36" t="s">
        <v>12</v>
      </c>
      <c r="B6" s="78"/>
      <c r="C6" s="78"/>
      <c r="D6" s="78"/>
      <c r="E6" s="79"/>
      <c r="F6" s="74"/>
    </row>
    <row r="7" spans="1:6" ht="34.5">
      <c r="A7" s="35" t="s">
        <v>13</v>
      </c>
      <c r="B7" s="80">
        <v>0</v>
      </c>
      <c r="C7" s="80">
        <v>0</v>
      </c>
      <c r="D7" s="80">
        <v>0</v>
      </c>
      <c r="E7" s="204">
        <f>D7-C7</f>
        <v>0</v>
      </c>
      <c r="F7" s="74"/>
    </row>
    <row r="8" spans="1:6" ht="34.5">
      <c r="A8" s="37" t="s">
        <v>14</v>
      </c>
      <c r="B8" s="82">
        <v>0</v>
      </c>
      <c r="C8" s="82">
        <v>0</v>
      </c>
      <c r="D8" s="82">
        <v>0</v>
      </c>
      <c r="E8" s="218">
        <f>D8-C8</f>
        <v>0</v>
      </c>
      <c r="F8" s="74"/>
    </row>
    <row r="9" spans="1:6" ht="34.5">
      <c r="A9" s="38" t="s">
        <v>15</v>
      </c>
      <c r="B9" s="82">
        <v>0</v>
      </c>
      <c r="C9" s="82">
        <v>0</v>
      </c>
      <c r="D9" s="82">
        <v>0</v>
      </c>
      <c r="E9" s="218">
        <f>D9-C9</f>
        <v>0</v>
      </c>
      <c r="F9" s="74"/>
    </row>
    <row r="10" spans="1:6" ht="34.5">
      <c r="A10" s="39" t="s">
        <v>16</v>
      </c>
      <c r="B10" s="82">
        <v>0</v>
      </c>
      <c r="C10" s="82">
        <v>0</v>
      </c>
      <c r="D10" s="82">
        <v>0</v>
      </c>
      <c r="E10" s="218">
        <f>D10-C10</f>
        <v>0</v>
      </c>
      <c r="F10" s="74"/>
    </row>
    <row r="11" spans="1:6" ht="34.5">
      <c r="A11" s="39" t="s">
        <v>17</v>
      </c>
      <c r="B11" s="200">
        <v>5716800</v>
      </c>
      <c r="C11" s="200">
        <v>29426493</v>
      </c>
      <c r="D11" s="200">
        <v>23426493</v>
      </c>
      <c r="E11" s="218">
        <f>D11-C11</f>
        <v>-6000000</v>
      </c>
      <c r="F11" s="74"/>
    </row>
    <row r="12" spans="1:6" ht="35.25">
      <c r="A12" s="40" t="s">
        <v>18</v>
      </c>
      <c r="B12" s="200">
        <f>B10+B9+B8+B7+B11</f>
        <v>5716800</v>
      </c>
      <c r="C12" s="200">
        <f>C10+C9+C8+C7+C11</f>
        <v>29426493</v>
      </c>
      <c r="D12" s="200">
        <f>D10+D9+D8+D7+D11</f>
        <v>23426493</v>
      </c>
      <c r="E12" s="200">
        <f>E10+E9+E8+E7+E11</f>
        <v>-6000000</v>
      </c>
      <c r="F12" s="74"/>
    </row>
    <row r="13" spans="1:6" ht="35.25">
      <c r="A13" s="36" t="s">
        <v>19</v>
      </c>
      <c r="B13" s="200"/>
      <c r="C13" s="200"/>
      <c r="D13" s="200"/>
      <c r="E13" s="218"/>
      <c r="F13" s="86"/>
    </row>
    <row r="14" spans="1:6" ht="35.25">
      <c r="A14" s="41" t="s">
        <v>20</v>
      </c>
      <c r="B14" s="198"/>
      <c r="C14" s="198"/>
      <c r="D14" s="198"/>
      <c r="E14" s="204"/>
      <c r="F14" s="86"/>
    </row>
    <row r="15" spans="1:6" ht="34.5">
      <c r="A15" s="35" t="s">
        <v>21</v>
      </c>
      <c r="B15" s="198">
        <v>0</v>
      </c>
      <c r="C15" s="198">
        <v>0</v>
      </c>
      <c r="D15" s="198">
        <v>0</v>
      </c>
      <c r="E15" s="198">
        <f>D15-C15</f>
        <v>0</v>
      </c>
      <c r="F15" s="86"/>
    </row>
    <row r="16" spans="1:6" ht="34.5">
      <c r="A16" s="35" t="s">
        <v>22</v>
      </c>
      <c r="B16" s="198">
        <v>0</v>
      </c>
      <c r="C16" s="198">
        <v>0</v>
      </c>
      <c r="D16" s="198">
        <v>0</v>
      </c>
      <c r="E16" s="198">
        <f>D16-C16</f>
        <v>0</v>
      </c>
      <c r="F16" s="86"/>
    </row>
    <row r="17" spans="1:6" ht="34.5">
      <c r="A17" s="42" t="s">
        <v>23</v>
      </c>
      <c r="B17" s="198">
        <v>0</v>
      </c>
      <c r="C17" s="198">
        <v>0</v>
      </c>
      <c r="D17" s="198">
        <v>0</v>
      </c>
      <c r="E17" s="198">
        <f>D17-C17</f>
        <v>0</v>
      </c>
      <c r="F17" s="86"/>
    </row>
    <row r="18" spans="1:6" ht="34.5">
      <c r="A18" s="42" t="s">
        <v>24</v>
      </c>
      <c r="B18" s="198">
        <v>0</v>
      </c>
      <c r="C18" s="198">
        <v>0</v>
      </c>
      <c r="D18" s="198">
        <v>0</v>
      </c>
      <c r="E18" s="198">
        <f>D18-C18</f>
        <v>0</v>
      </c>
      <c r="F18" s="86"/>
    </row>
    <row r="19" spans="1:6" ht="34.5">
      <c r="A19" s="35" t="s">
        <v>25</v>
      </c>
      <c r="B19" s="198">
        <v>0</v>
      </c>
      <c r="C19" s="198">
        <v>0</v>
      </c>
      <c r="D19" s="198">
        <v>0</v>
      </c>
      <c r="E19" s="198">
        <f>D19-C19</f>
        <v>0</v>
      </c>
      <c r="F19" s="86"/>
    </row>
    <row r="20" spans="1:6" ht="35.25">
      <c r="A20" s="36" t="s">
        <v>26</v>
      </c>
      <c r="B20" s="200">
        <f>B19+B18+B17+B16+B15</f>
        <v>0</v>
      </c>
      <c r="C20" s="200">
        <f>C19+C18+C17+C16+C15</f>
        <v>0</v>
      </c>
      <c r="D20" s="200">
        <f>D19+D18+D17+D16+D15</f>
        <v>0</v>
      </c>
      <c r="E20" s="218">
        <f>E19+E18+E17+E16+E15</f>
        <v>0</v>
      </c>
      <c r="F20" s="74"/>
    </row>
    <row r="21" spans="1:6" ht="34.5">
      <c r="A21" s="43" t="s">
        <v>27</v>
      </c>
      <c r="B21" s="198"/>
      <c r="C21" s="198"/>
      <c r="D21" s="198"/>
      <c r="E21" s="204">
        <f aca="true" t="shared" si="0" ref="E21:E26">D21-C21</f>
        <v>0</v>
      </c>
      <c r="F21" s="74"/>
    </row>
    <row r="22" spans="1:6" ht="34.5">
      <c r="A22" s="42" t="s">
        <v>28</v>
      </c>
      <c r="B22" s="200"/>
      <c r="C22" s="200"/>
      <c r="D22" s="200"/>
      <c r="E22" s="218">
        <f t="shared" si="0"/>
        <v>0</v>
      </c>
      <c r="F22" s="74"/>
    </row>
    <row r="23" spans="1:6" ht="34.5">
      <c r="A23" s="44" t="s">
        <v>29</v>
      </c>
      <c r="B23" s="200"/>
      <c r="C23" s="200"/>
      <c r="D23" s="200"/>
      <c r="E23" s="218">
        <f t="shared" si="0"/>
        <v>0</v>
      </c>
      <c r="F23" s="74"/>
    </row>
    <row r="24" spans="1:6" ht="34.5">
      <c r="A24" s="38" t="s">
        <v>30</v>
      </c>
      <c r="B24" s="200"/>
      <c r="C24" s="200"/>
      <c r="D24" s="200"/>
      <c r="E24" s="218">
        <f t="shared" si="0"/>
        <v>0</v>
      </c>
      <c r="F24" s="74"/>
    </row>
    <row r="25" spans="1:6" ht="34.5">
      <c r="A25" s="42" t="s">
        <v>31</v>
      </c>
      <c r="B25" s="200"/>
      <c r="C25" s="200"/>
      <c r="D25" s="200"/>
      <c r="E25" s="218">
        <f t="shared" si="0"/>
        <v>0</v>
      </c>
      <c r="F25" s="74"/>
    </row>
    <row r="26" spans="1:6" ht="34.5">
      <c r="A26" s="44" t="s">
        <v>32</v>
      </c>
      <c r="B26" s="200">
        <v>2203615</v>
      </c>
      <c r="C26" s="200">
        <v>3066380</v>
      </c>
      <c r="D26" s="200">
        <v>2566380</v>
      </c>
      <c r="E26" s="218">
        <f t="shared" si="0"/>
        <v>-500000</v>
      </c>
      <c r="F26" s="74"/>
    </row>
    <row r="27" spans="1:6" ht="35.25">
      <c r="A27" s="45" t="s">
        <v>33</v>
      </c>
      <c r="B27" s="206">
        <f>B26+B25+B24+B23+B22+B21+B20</f>
        <v>2203615</v>
      </c>
      <c r="C27" s="206">
        <f>C26+C25+C24+C23+C22+C21+C20</f>
        <v>3066380</v>
      </c>
      <c r="D27" s="206">
        <f>D26+D25+D24+D23+D22+D21+D20</f>
        <v>2566380</v>
      </c>
      <c r="E27" s="206">
        <f>E26+E25+E24+E23+E22+E21+E20</f>
        <v>-500000</v>
      </c>
      <c r="F27" s="74"/>
    </row>
    <row r="28" spans="1:6" ht="35.25">
      <c r="A28" s="41" t="s">
        <v>34</v>
      </c>
      <c r="B28" s="198"/>
      <c r="C28" s="198"/>
      <c r="D28" s="198"/>
      <c r="E28" s="204"/>
      <c r="F28" s="74"/>
    </row>
    <row r="29" spans="1:6" ht="34.5">
      <c r="A29" s="46" t="s">
        <v>35</v>
      </c>
      <c r="B29" s="198"/>
      <c r="C29" s="198"/>
      <c r="D29" s="205"/>
      <c r="E29" s="204">
        <f>D29-C29</f>
        <v>0</v>
      </c>
      <c r="F29" s="74"/>
    </row>
    <row r="30" spans="1:6" ht="34.5">
      <c r="A30" s="37" t="s">
        <v>36</v>
      </c>
      <c r="B30" s="206"/>
      <c r="C30" s="206"/>
      <c r="D30" s="206"/>
      <c r="E30" s="219">
        <f>D30-C30</f>
        <v>0</v>
      </c>
      <c r="F30" s="74"/>
    </row>
    <row r="31" spans="1:6" ht="35.25">
      <c r="A31" s="47" t="s">
        <v>37</v>
      </c>
      <c r="B31" s="198"/>
      <c r="C31" s="205"/>
      <c r="D31" s="205"/>
      <c r="E31" s="198"/>
      <c r="F31" s="74"/>
    </row>
    <row r="32" spans="1:6" ht="34.5">
      <c r="A32" s="42" t="s">
        <v>38</v>
      </c>
      <c r="B32" s="198"/>
      <c r="C32" s="198"/>
      <c r="D32" s="198"/>
      <c r="E32" s="204">
        <f>D32-C32</f>
        <v>0</v>
      </c>
      <c r="F32" s="74"/>
    </row>
    <row r="33" spans="1:6" ht="34.5">
      <c r="A33" s="37" t="s">
        <v>39</v>
      </c>
      <c r="B33" s="200">
        <v>21022065</v>
      </c>
      <c r="C33" s="200">
        <v>20689351</v>
      </c>
      <c r="D33" s="200">
        <v>12063873</v>
      </c>
      <c r="E33" s="218">
        <f>D33-C33</f>
        <v>-8625478</v>
      </c>
      <c r="F33" s="74"/>
    </row>
    <row r="34" spans="1:6" s="52" customFormat="1" ht="44.25">
      <c r="A34" s="36" t="s">
        <v>40</v>
      </c>
      <c r="B34" s="200">
        <f>B33+B32+B30+B29</f>
        <v>21022065</v>
      </c>
      <c r="C34" s="200">
        <f>C33+C32+C30+C29</f>
        <v>20689351</v>
      </c>
      <c r="D34" s="200">
        <f>D33+D32+D30+D29</f>
        <v>12063873</v>
      </c>
      <c r="E34" s="200">
        <f>E33+E32+E30+E29</f>
        <v>-8625478</v>
      </c>
      <c r="F34" s="51"/>
    </row>
    <row r="35" spans="1:6" s="52" customFormat="1" ht="45" thickBot="1">
      <c r="A35" s="48" t="s">
        <v>41</v>
      </c>
      <c r="B35" s="635">
        <f>B34+B27+B12</f>
        <v>28942480</v>
      </c>
      <c r="C35" s="635">
        <f>C34+C27+C12</f>
        <v>53182224</v>
      </c>
      <c r="D35" s="635">
        <f>D34+D27+D12</f>
        <v>38056746</v>
      </c>
      <c r="E35" s="635">
        <f>E34+E27+E12</f>
        <v>-15125478</v>
      </c>
      <c r="F35" s="51"/>
    </row>
    <row r="36" spans="1:6" s="52" customFormat="1" ht="45" thickTop="1">
      <c r="A36" s="97"/>
      <c r="B36" s="98"/>
      <c r="C36" s="98"/>
      <c r="D36" s="98"/>
      <c r="E36" s="110"/>
      <c r="F36" s="51"/>
    </row>
    <row r="37" spans="1:6" ht="45">
      <c r="A37" s="49" t="s">
        <v>42</v>
      </c>
      <c r="B37" s="50"/>
      <c r="C37" s="50"/>
      <c r="D37" s="50"/>
      <c r="E37" s="50"/>
      <c r="F37" s="99"/>
    </row>
    <row r="38" spans="1:6" ht="44.25">
      <c r="A38" s="51"/>
      <c r="B38" s="52"/>
      <c r="C38" s="52"/>
      <c r="D38" s="52"/>
      <c r="E38" s="52"/>
      <c r="F38" s="100"/>
    </row>
    <row r="39" spans="1:6" ht="44.25">
      <c r="A39" s="53" t="s">
        <v>43</v>
      </c>
      <c r="B39" s="52"/>
      <c r="C39" s="52"/>
      <c r="D39" s="52"/>
      <c r="E39" s="52"/>
      <c r="F39" s="100"/>
    </row>
    <row r="40" spans="1:5" ht="20.25">
      <c r="A40" s="101"/>
      <c r="B40" s="100"/>
      <c r="C40" s="100"/>
      <c r="D40" s="100"/>
      <c r="E40" s="100"/>
    </row>
    <row r="41" spans="1:5" ht="20.25">
      <c r="A41" s="101" t="s">
        <v>0</v>
      </c>
      <c r="B41" s="99"/>
      <c r="C41" s="99"/>
      <c r="D41" s="99"/>
      <c r="E41" s="99"/>
    </row>
    <row r="42" spans="1:5" ht="20.25">
      <c r="A42" s="101" t="s">
        <v>0</v>
      </c>
      <c r="B42" s="100"/>
      <c r="C42" s="100"/>
      <c r="D42" s="100"/>
      <c r="E42" s="100"/>
    </row>
    <row r="44" ht="15">
      <c r="A44" s="102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A5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50.886718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E1" s="613" t="s">
        <v>3</v>
      </c>
      <c r="F1" s="609" t="s">
        <v>187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/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ht="56.25">
      <c r="A5" s="580" t="s">
        <v>11</v>
      </c>
      <c r="B5" s="618" t="s">
        <v>70</v>
      </c>
      <c r="C5" s="618" t="s">
        <v>202</v>
      </c>
      <c r="D5" s="618" t="s">
        <v>201</v>
      </c>
      <c r="E5" s="618" t="s">
        <v>70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2044238</v>
      </c>
      <c r="C10" s="620">
        <v>1928476</v>
      </c>
      <c r="D10" s="620">
        <v>1971188</v>
      </c>
      <c r="E10" s="620">
        <f>D10-C10</f>
        <v>42712</v>
      </c>
      <c r="F10" s="587">
        <f t="shared" si="0"/>
        <v>0.02214805888172837</v>
      </c>
    </row>
    <row r="11" spans="1:6" ht="45.75">
      <c r="A11" s="586" t="s">
        <v>17</v>
      </c>
      <c r="B11" s="620">
        <v>34146</v>
      </c>
      <c r="C11" s="620">
        <v>210000</v>
      </c>
      <c r="D11" s="620">
        <v>210000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2078384</v>
      </c>
      <c r="C12" s="621">
        <f>C10+C9+C8+C7+C11</f>
        <v>2138476</v>
      </c>
      <c r="D12" s="621">
        <f>D10+D9+D8+D7+D11</f>
        <v>2181188</v>
      </c>
      <c r="E12" s="621">
        <f>E10+E9+E8+E7+E11</f>
        <v>42712</v>
      </c>
      <c r="F12" s="593">
        <f t="shared" si="0"/>
        <v>0.019973102340171224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17542545</v>
      </c>
      <c r="C15" s="620">
        <v>21030533</v>
      </c>
      <c r="D15" s="620">
        <v>21030533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5837152</v>
      </c>
      <c r="C16" s="620">
        <v>5900000</v>
      </c>
      <c r="D16" s="620">
        <v>5900000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1903393</v>
      </c>
      <c r="C17" s="620">
        <v>2078317</v>
      </c>
      <c r="D17" s="620">
        <v>2078317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986812</v>
      </c>
      <c r="C18" s="620">
        <v>1036525</v>
      </c>
      <c r="D18" s="620">
        <v>1036525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-11066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26258836</v>
      </c>
      <c r="C20" s="621">
        <f>C19+C18+C17+C16+C15</f>
        <v>30045375</v>
      </c>
      <c r="D20" s="621">
        <f>D19+D18+D17+D16+D15</f>
        <v>30045375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849000</v>
      </c>
      <c r="D21" s="620">
        <v>1000000</v>
      </c>
      <c r="E21" s="620">
        <f aca="true" t="shared" si="2" ref="E21:E26">D21-C21</f>
        <v>151000</v>
      </c>
      <c r="F21" s="587">
        <f t="shared" si="1"/>
        <v>0.17785630153121318</v>
      </c>
    </row>
    <row r="22" spans="1:6" ht="45.75">
      <c r="A22" s="591" t="s">
        <v>28</v>
      </c>
      <c r="B22" s="620">
        <v>0</v>
      </c>
      <c r="C22" s="620">
        <v>444000</v>
      </c>
      <c r="D22" s="620">
        <v>450000</v>
      </c>
      <c r="E22" s="620">
        <f t="shared" si="2"/>
        <v>6000</v>
      </c>
      <c r="F22" s="587">
        <f t="shared" si="1"/>
        <v>0.013513513513513514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8417923</v>
      </c>
      <c r="C26" s="620">
        <v>3738981</v>
      </c>
      <c r="D26" s="620">
        <v>3789709</v>
      </c>
      <c r="E26" s="620">
        <f t="shared" si="2"/>
        <v>50728</v>
      </c>
      <c r="F26" s="587">
        <f t="shared" si="1"/>
        <v>0.013567332917712073</v>
      </c>
    </row>
    <row r="27" spans="1:6" ht="47.25">
      <c r="A27" s="598" t="s">
        <v>33</v>
      </c>
      <c r="B27" s="621">
        <f>B26+B25+B24+B23+B22+B21+B20</f>
        <v>34676759</v>
      </c>
      <c r="C27" s="621">
        <f>C26+C25+C24+C23+C22+C21+C20</f>
        <v>35077356</v>
      </c>
      <c r="D27" s="621">
        <f>D26+D25+D24+D23+D22+D21+D20</f>
        <v>35285084</v>
      </c>
      <c r="E27" s="621">
        <f>E26+E25+E24+E23+E22+E21+E20</f>
        <v>207728</v>
      </c>
      <c r="F27" s="593">
        <f t="shared" si="1"/>
        <v>0.005921997085527199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36755143</v>
      </c>
      <c r="C35" s="627">
        <f>C34+C27+C12</f>
        <v>37215832</v>
      </c>
      <c r="D35" s="627">
        <f>D34+D27+D12</f>
        <v>37466272</v>
      </c>
      <c r="E35" s="627">
        <f>E34+E27+E12</f>
        <v>250440</v>
      </c>
      <c r="F35" s="608">
        <f>IF(ISERROR(E35/C35),0,(E35/C35))</f>
        <v>0.006729394092277716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A3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7.777343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E1" s="613" t="s">
        <v>3</v>
      </c>
      <c r="F1" s="613" t="s">
        <v>188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/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ht="56.25">
      <c r="A5" s="580" t="s">
        <v>11</v>
      </c>
      <c r="B5" s="618" t="s">
        <v>70</v>
      </c>
      <c r="C5" s="618" t="s">
        <v>202</v>
      </c>
      <c r="D5" s="618" t="s">
        <v>201</v>
      </c>
      <c r="E5" s="618" t="s">
        <v>70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2889444</v>
      </c>
      <c r="C15" s="620">
        <v>2979600</v>
      </c>
      <c r="D15" s="620">
        <v>3087370</v>
      </c>
      <c r="E15" s="620">
        <f>D15-C15</f>
        <v>107770</v>
      </c>
      <c r="F15" s="587">
        <f aca="true" t="shared" si="1" ref="F15:F27">IF(ISERROR(E15/C15),0,(E15/C15))</f>
        <v>0.03616928446771379</v>
      </c>
    </row>
    <row r="16" spans="1:6" ht="45.75">
      <c r="A16" s="604" t="s">
        <v>22</v>
      </c>
      <c r="B16" s="620">
        <v>379409</v>
      </c>
      <c r="C16" s="620">
        <v>358800</v>
      </c>
      <c r="D16" s="620">
        <v>358800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209</v>
      </c>
      <c r="B19" s="620">
        <v>-142759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3126094</v>
      </c>
      <c r="C20" s="621">
        <f>C19+C18+C17+C16+C15</f>
        <v>3338400</v>
      </c>
      <c r="D20" s="621">
        <f>D19+D18+D17+D16+D15</f>
        <v>3446170</v>
      </c>
      <c r="E20" s="621">
        <f>E19+E18+E17+E16+E15</f>
        <v>107770</v>
      </c>
      <c r="F20" s="593">
        <f t="shared" si="1"/>
        <v>0.032281931464174456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26839</v>
      </c>
      <c r="C22" s="620">
        <v>25850</v>
      </c>
      <c r="D22" s="620">
        <v>25850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47233</v>
      </c>
      <c r="C26" s="620">
        <v>35750</v>
      </c>
      <c r="D26" s="620">
        <v>35750</v>
      </c>
      <c r="E26" s="620">
        <f t="shared" si="2"/>
        <v>0</v>
      </c>
      <c r="F26" s="587">
        <f t="shared" si="1"/>
        <v>0</v>
      </c>
    </row>
    <row r="27" spans="1:6" ht="47.25">
      <c r="A27" s="598" t="s">
        <v>33</v>
      </c>
      <c r="B27" s="621">
        <f>B26+B25+B24+B23+B22+B21+B20</f>
        <v>3200166</v>
      </c>
      <c r="C27" s="621">
        <f>C26+C25+C24+C23+C22+C21+C20</f>
        <v>3400000</v>
      </c>
      <c r="D27" s="621">
        <f>D26+D25+D24+D23+D22+D21+D20</f>
        <v>3507770</v>
      </c>
      <c r="E27" s="621">
        <f>E26+E25+E24+E23+E22+E21+E20</f>
        <v>107770</v>
      </c>
      <c r="F27" s="593">
        <f t="shared" si="1"/>
        <v>0.03169705882352941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3200166</v>
      </c>
      <c r="C35" s="627">
        <f>C34+C27+C12</f>
        <v>3400000</v>
      </c>
      <c r="D35" s="627">
        <f>D34+D27+D12</f>
        <v>3507770</v>
      </c>
      <c r="E35" s="627">
        <f>E34+E27+E12</f>
        <v>107770</v>
      </c>
      <c r="F35" s="608">
        <f>IF(ISERROR(E35/C35),0,(E35/C35))</f>
        <v>0.03169705882352941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A9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7.777343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D1" s="565"/>
      <c r="E1" s="613" t="s">
        <v>3</v>
      </c>
      <c r="F1" s="613" t="s">
        <v>189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/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ht="56.25">
      <c r="A5" s="580" t="s">
        <v>11</v>
      </c>
      <c r="B5" s="618" t="s">
        <v>70</v>
      </c>
      <c r="C5" s="618" t="s">
        <v>202</v>
      </c>
      <c r="D5" s="618" t="s">
        <v>201</v>
      </c>
      <c r="E5" s="618" t="s">
        <v>70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5597271</v>
      </c>
      <c r="C15" s="620">
        <v>5240255</v>
      </c>
      <c r="D15" s="620">
        <v>4530651</v>
      </c>
      <c r="E15" s="620">
        <f>D15-C15</f>
        <v>-709604</v>
      </c>
      <c r="F15" s="587">
        <f aca="true" t="shared" si="1" ref="F15:F27">IF(ISERROR(E15/C15),0,(E15/C15))</f>
        <v>-0.13541402088257157</v>
      </c>
    </row>
    <row r="16" spans="1:6" ht="45.75">
      <c r="A16" s="604" t="s">
        <v>22</v>
      </c>
      <c r="B16" s="620">
        <v>40630</v>
      </c>
      <c r="C16" s="620">
        <v>80000</v>
      </c>
      <c r="D16" s="620">
        <v>90000</v>
      </c>
      <c r="E16" s="620">
        <f>D16-C16</f>
        <v>10000</v>
      </c>
      <c r="F16" s="587">
        <f t="shared" si="1"/>
        <v>0.125</v>
      </c>
    </row>
    <row r="17" spans="1:6" ht="45.75">
      <c r="A17" s="605" t="s">
        <v>23</v>
      </c>
      <c r="B17" s="620">
        <v>608225</v>
      </c>
      <c r="C17" s="620">
        <v>600000</v>
      </c>
      <c r="D17" s="620">
        <v>663000</v>
      </c>
      <c r="E17" s="620">
        <f>D17-C17</f>
        <v>63000</v>
      </c>
      <c r="F17" s="587">
        <f t="shared" si="1"/>
        <v>0.105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210</v>
      </c>
      <c r="B19" s="620">
        <v>-1479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6244647</v>
      </c>
      <c r="C20" s="621">
        <f>C19+C18+C17+C16+C15</f>
        <v>5920255</v>
      </c>
      <c r="D20" s="621">
        <f>D19+D18+D17+D16+D15</f>
        <v>5283651</v>
      </c>
      <c r="E20" s="621">
        <f>E19+E18+E17+E16+E15</f>
        <v>-636604</v>
      </c>
      <c r="F20" s="593">
        <f t="shared" si="1"/>
        <v>-0.10752982768478722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68500</v>
      </c>
      <c r="D22" s="620">
        <v>68500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591880</v>
      </c>
      <c r="C26" s="620">
        <v>565000</v>
      </c>
      <c r="D26" s="620">
        <v>856703</v>
      </c>
      <c r="E26" s="620">
        <f t="shared" si="2"/>
        <v>291703</v>
      </c>
      <c r="F26" s="587">
        <f t="shared" si="1"/>
        <v>0.5162884955752213</v>
      </c>
    </row>
    <row r="27" spans="1:6" ht="47.25">
      <c r="A27" s="598" t="s">
        <v>33</v>
      </c>
      <c r="B27" s="621">
        <f>B26+B25+B24+B23+B22+B21+B20</f>
        <v>6836527</v>
      </c>
      <c r="C27" s="621">
        <f>C26+C25+C24+C23+C22+C21+C20</f>
        <v>6553755</v>
      </c>
      <c r="D27" s="621">
        <f>D26+D25+D24+D23+D22+D21+D20</f>
        <v>6208854</v>
      </c>
      <c r="E27" s="621">
        <f>E26+E25+E24+E23+E22+E21+E20</f>
        <v>-344901</v>
      </c>
      <c r="F27" s="593">
        <f t="shared" si="1"/>
        <v>-0.05262647138930277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6836527</v>
      </c>
      <c r="C35" s="627">
        <f>C34+C27+C12</f>
        <v>6553755</v>
      </c>
      <c r="D35" s="627">
        <f>D34+D27+D12</f>
        <v>6208854</v>
      </c>
      <c r="E35" s="627">
        <f>E34+E27+E12</f>
        <v>-344901</v>
      </c>
      <c r="F35" s="608">
        <f>IF(ISERROR(E35/C35),0,(E35/C35))</f>
        <v>-0.05262647138930277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A10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7.777343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D1" s="565"/>
      <c r="E1" s="562" t="s">
        <v>3</v>
      </c>
      <c r="F1" s="613" t="s">
        <v>190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/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ht="56.25">
      <c r="A5" s="580" t="s">
        <v>11</v>
      </c>
      <c r="B5" s="618" t="s">
        <v>70</v>
      </c>
      <c r="C5" s="618" t="s">
        <v>202</v>
      </c>
      <c r="D5" s="618" t="s">
        <v>201</v>
      </c>
      <c r="E5" s="618" t="s">
        <v>70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3934693</v>
      </c>
      <c r="C15" s="620">
        <v>4044054</v>
      </c>
      <c r="D15" s="620">
        <v>4044054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6540</v>
      </c>
      <c r="C16" s="620">
        <v>1130</v>
      </c>
      <c r="D16" s="620">
        <v>1130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-56252</v>
      </c>
      <c r="C19" s="620">
        <v>100000</v>
      </c>
      <c r="D19" s="620">
        <v>100000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3884981</v>
      </c>
      <c r="C20" s="621">
        <f>C19+C18+C17+C16+C15</f>
        <v>4145184</v>
      </c>
      <c r="D20" s="621">
        <f>D19+D18+D17+D16+D15</f>
        <v>4145184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0</v>
      </c>
      <c r="D22" s="620">
        <v>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308158</v>
      </c>
      <c r="C26" s="620">
        <v>404816</v>
      </c>
      <c r="D26" s="620">
        <v>399966</v>
      </c>
      <c r="E26" s="620">
        <f t="shared" si="2"/>
        <v>-4850</v>
      </c>
      <c r="F26" s="587">
        <f t="shared" si="1"/>
        <v>-0.01198075174894273</v>
      </c>
    </row>
    <row r="27" spans="1:6" ht="47.25">
      <c r="A27" s="598" t="s">
        <v>33</v>
      </c>
      <c r="B27" s="621">
        <f>B26+B25+B24+B23+B22+B21+B20</f>
        <v>4193139</v>
      </c>
      <c r="C27" s="621">
        <f>C26+C25+C24+C23+C22+C21+C20</f>
        <v>4550000</v>
      </c>
      <c r="D27" s="621">
        <f>D26+D25+D24+D23+D22+D21+D20</f>
        <v>4545150</v>
      </c>
      <c r="E27" s="621">
        <f>E26+E25+E24+E23+E22+E21+E20</f>
        <v>-4850</v>
      </c>
      <c r="F27" s="593">
        <f t="shared" si="1"/>
        <v>-0.0010659340659340659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735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v>735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4193874</v>
      </c>
      <c r="C35" s="627">
        <f>C34+C27+C12</f>
        <v>4550000</v>
      </c>
      <c r="D35" s="627">
        <f>D34+D27+D12</f>
        <v>4545150</v>
      </c>
      <c r="E35" s="627">
        <f>E34+E27+E12</f>
        <v>-4850</v>
      </c>
      <c r="F35" s="608">
        <f>IF(ISERROR(E35/C35),0,(E35/C35))</f>
        <v>-0.0010659340659340659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35" zoomScaleNormal="35" zoomScalePageLayoutView="0" workbookViewId="0" topLeftCell="B1">
      <selection activeCell="K26" sqref="K26"/>
    </sheetView>
  </sheetViews>
  <sheetFormatPr defaultColWidth="9.6640625" defaultRowHeight="15"/>
  <cols>
    <col min="1" max="1" width="177.3359375" style="565" customWidth="1"/>
    <col min="2" max="2" width="44.3359375" style="612" customWidth="1"/>
    <col min="3" max="3" width="43.88671875" style="612" customWidth="1"/>
    <col min="4" max="4" width="44.10546875" style="612" customWidth="1"/>
    <col min="5" max="5" width="47.77734375" style="612" customWidth="1"/>
    <col min="6" max="6" width="47.77734375" style="571" customWidth="1"/>
    <col min="7" max="16384" width="9.6640625" style="565" customWidth="1"/>
  </cols>
  <sheetData>
    <row r="1" spans="1:6" ht="57">
      <c r="A1" s="562" t="s">
        <v>2</v>
      </c>
      <c r="B1" s="610"/>
      <c r="C1" s="611"/>
      <c r="E1" s="562" t="s">
        <v>3</v>
      </c>
      <c r="F1" s="562" t="s">
        <v>191</v>
      </c>
    </row>
    <row r="2" spans="1:6" ht="57">
      <c r="A2" s="562" t="s">
        <v>9</v>
      </c>
      <c r="B2" s="610"/>
      <c r="C2" s="610"/>
      <c r="D2" s="610"/>
      <c r="E2" s="610"/>
      <c r="F2" s="566"/>
    </row>
    <row r="3" spans="1:6" ht="57.75" thickBot="1">
      <c r="A3" s="567" t="s">
        <v>10</v>
      </c>
      <c r="B3" s="614"/>
      <c r="C3" s="614"/>
      <c r="D3" s="614"/>
      <c r="E3" s="614"/>
      <c r="F3" s="568"/>
    </row>
    <row r="4" spans="1:6" ht="57.75" thickTop="1">
      <c r="A4" s="578"/>
      <c r="B4" s="615" t="s">
        <v>4</v>
      </c>
      <c r="C4" s="616" t="s">
        <v>5</v>
      </c>
      <c r="D4" s="616" t="s">
        <v>5</v>
      </c>
      <c r="E4" s="617" t="s">
        <v>7</v>
      </c>
      <c r="F4" s="579" t="s">
        <v>1</v>
      </c>
    </row>
    <row r="5" spans="1:6" ht="56.25">
      <c r="A5" s="580" t="s">
        <v>11</v>
      </c>
      <c r="B5" s="618" t="s">
        <v>70</v>
      </c>
      <c r="C5" s="618" t="s">
        <v>202</v>
      </c>
      <c r="D5" s="618" t="s">
        <v>201</v>
      </c>
      <c r="E5" s="618" t="s">
        <v>70</v>
      </c>
      <c r="F5" s="581" t="s">
        <v>6</v>
      </c>
    </row>
    <row r="6" spans="1:6" ht="49.5">
      <c r="A6" s="582" t="s">
        <v>12</v>
      </c>
      <c r="B6" s="619"/>
      <c r="C6" s="619"/>
      <c r="D6" s="619"/>
      <c r="E6" s="619"/>
      <c r="F6" s="569"/>
    </row>
    <row r="7" spans="1:6" ht="45.75">
      <c r="A7" s="583" t="s">
        <v>13</v>
      </c>
      <c r="B7" s="620">
        <v>0</v>
      </c>
      <c r="C7" s="620">
        <v>0</v>
      </c>
      <c r="D7" s="620">
        <v>0</v>
      </c>
      <c r="E7" s="620">
        <f>D7-C7</f>
        <v>0</v>
      </c>
      <c r="F7" s="588">
        <f aca="true" t="shared" si="0" ref="F7:F12">IF(ISERROR(E7/C7),0,(E7/C7))</f>
        <v>0</v>
      </c>
    </row>
    <row r="8" spans="1:6" ht="45.75">
      <c r="A8" s="584" t="s">
        <v>14</v>
      </c>
      <c r="B8" s="620">
        <v>0</v>
      </c>
      <c r="C8" s="620">
        <v>0</v>
      </c>
      <c r="D8" s="620">
        <v>0</v>
      </c>
      <c r="E8" s="620">
        <f>D8-C8</f>
        <v>0</v>
      </c>
      <c r="F8" s="587">
        <f t="shared" si="0"/>
        <v>0</v>
      </c>
    </row>
    <row r="9" spans="1:6" ht="45.75">
      <c r="A9" s="585" t="s">
        <v>15</v>
      </c>
      <c r="B9" s="620">
        <v>0</v>
      </c>
      <c r="C9" s="620">
        <v>0</v>
      </c>
      <c r="D9" s="620">
        <v>0</v>
      </c>
      <c r="E9" s="620">
        <f>D9-C9</f>
        <v>0</v>
      </c>
      <c r="F9" s="587">
        <f t="shared" si="0"/>
        <v>0</v>
      </c>
    </row>
    <row r="10" spans="1:6" ht="45.75">
      <c r="A10" s="586" t="s">
        <v>16</v>
      </c>
      <c r="B10" s="620">
        <v>0</v>
      </c>
      <c r="C10" s="620">
        <v>0</v>
      </c>
      <c r="D10" s="620">
        <v>0</v>
      </c>
      <c r="E10" s="620">
        <f>D10-C10</f>
        <v>0</v>
      </c>
      <c r="F10" s="587">
        <f t="shared" si="0"/>
        <v>0</v>
      </c>
    </row>
    <row r="11" spans="1:6" ht="45.75">
      <c r="A11" s="586" t="s">
        <v>17</v>
      </c>
      <c r="B11" s="620">
        <v>0</v>
      </c>
      <c r="C11" s="620">
        <v>0</v>
      </c>
      <c r="D11" s="620">
        <v>0</v>
      </c>
      <c r="E11" s="620">
        <f>D11-C11</f>
        <v>0</v>
      </c>
      <c r="F11" s="587">
        <f t="shared" si="0"/>
        <v>0</v>
      </c>
    </row>
    <row r="12" spans="1:6" ht="47.25">
      <c r="A12" s="589" t="s">
        <v>18</v>
      </c>
      <c r="B12" s="621">
        <f>B10+B9+B8+B7+B11</f>
        <v>0</v>
      </c>
      <c r="C12" s="621">
        <f>C10+C9+C8+C7+C11</f>
        <v>0</v>
      </c>
      <c r="D12" s="621">
        <f>D10+D9+D8+D7+D11</f>
        <v>0</v>
      </c>
      <c r="E12" s="621">
        <f>E10+E9+E8+E7+E11</f>
        <v>0</v>
      </c>
      <c r="F12" s="593">
        <f t="shared" si="0"/>
        <v>0</v>
      </c>
    </row>
    <row r="13" spans="1:6" ht="49.5">
      <c r="A13" s="582" t="s">
        <v>19</v>
      </c>
      <c r="B13" s="622"/>
      <c r="C13" s="623"/>
      <c r="D13" s="623"/>
      <c r="E13" s="623"/>
      <c r="F13" s="570"/>
    </row>
    <row r="14" spans="1:6" ht="47.25">
      <c r="A14" s="590" t="s">
        <v>20</v>
      </c>
      <c r="B14" s="624"/>
      <c r="C14" s="625"/>
      <c r="D14" s="625"/>
      <c r="E14" s="625"/>
      <c r="F14" s="594"/>
    </row>
    <row r="15" spans="1:6" ht="45.75">
      <c r="A15" s="603" t="s">
        <v>21</v>
      </c>
      <c r="B15" s="620">
        <v>0</v>
      </c>
      <c r="C15" s="620">
        <v>0</v>
      </c>
      <c r="D15" s="620">
        <v>0</v>
      </c>
      <c r="E15" s="620">
        <f>D15-C15</f>
        <v>0</v>
      </c>
      <c r="F15" s="587">
        <f aca="true" t="shared" si="1" ref="F15:F27">IF(ISERROR(E15/C15),0,(E15/C15))</f>
        <v>0</v>
      </c>
    </row>
    <row r="16" spans="1:6" ht="45.75">
      <c r="A16" s="604" t="s">
        <v>22</v>
      </c>
      <c r="B16" s="620">
        <v>0</v>
      </c>
      <c r="C16" s="620">
        <v>0</v>
      </c>
      <c r="D16" s="620">
        <v>0</v>
      </c>
      <c r="E16" s="620">
        <f>D16-C16</f>
        <v>0</v>
      </c>
      <c r="F16" s="587">
        <f t="shared" si="1"/>
        <v>0</v>
      </c>
    </row>
    <row r="17" spans="1:6" ht="45.75">
      <c r="A17" s="605" t="s">
        <v>23</v>
      </c>
      <c r="B17" s="620">
        <v>0</v>
      </c>
      <c r="C17" s="620">
        <v>0</v>
      </c>
      <c r="D17" s="620">
        <v>0</v>
      </c>
      <c r="E17" s="620">
        <f>D17-C17</f>
        <v>0</v>
      </c>
      <c r="F17" s="587">
        <f t="shared" si="1"/>
        <v>0</v>
      </c>
    </row>
    <row r="18" spans="1:6" ht="45.75">
      <c r="A18" s="605" t="s">
        <v>24</v>
      </c>
      <c r="B18" s="620">
        <v>0</v>
      </c>
      <c r="C18" s="620">
        <v>0</v>
      </c>
      <c r="D18" s="620">
        <v>0</v>
      </c>
      <c r="E18" s="620">
        <f>D18-C18</f>
        <v>0</v>
      </c>
      <c r="F18" s="587">
        <f t="shared" si="1"/>
        <v>0</v>
      </c>
    </row>
    <row r="19" spans="1:6" ht="45.75">
      <c r="A19" s="583" t="s">
        <v>25</v>
      </c>
      <c r="B19" s="620">
        <v>0</v>
      </c>
      <c r="C19" s="620">
        <v>0</v>
      </c>
      <c r="D19" s="620">
        <v>0</v>
      </c>
      <c r="E19" s="620">
        <f>D19-C19</f>
        <v>0</v>
      </c>
      <c r="F19" s="587">
        <f t="shared" si="1"/>
        <v>0</v>
      </c>
    </row>
    <row r="20" spans="1:6" ht="47.25">
      <c r="A20" s="595" t="s">
        <v>26</v>
      </c>
      <c r="B20" s="621">
        <f>B19+B18+B17+B16+B15</f>
        <v>0</v>
      </c>
      <c r="C20" s="621">
        <f>C19+C18+C17+C16+C15</f>
        <v>0</v>
      </c>
      <c r="D20" s="621">
        <f>D19+D18+D17+D16+D15</f>
        <v>0</v>
      </c>
      <c r="E20" s="621">
        <f>E19+E18+E17+E16+E15</f>
        <v>0</v>
      </c>
      <c r="F20" s="593">
        <f t="shared" si="1"/>
        <v>0</v>
      </c>
    </row>
    <row r="21" spans="1:6" ht="45.75">
      <c r="A21" s="596" t="s">
        <v>27</v>
      </c>
      <c r="B21" s="620">
        <v>0</v>
      </c>
      <c r="C21" s="620">
        <v>0</v>
      </c>
      <c r="D21" s="620">
        <v>0</v>
      </c>
      <c r="E21" s="620">
        <f aca="true" t="shared" si="2" ref="E21:E26">D21-C21</f>
        <v>0</v>
      </c>
      <c r="F21" s="587">
        <f t="shared" si="1"/>
        <v>0</v>
      </c>
    </row>
    <row r="22" spans="1:6" ht="45.75">
      <c r="A22" s="591" t="s">
        <v>28</v>
      </c>
      <c r="B22" s="620">
        <v>0</v>
      </c>
      <c r="C22" s="620">
        <v>0</v>
      </c>
      <c r="D22" s="620">
        <v>0</v>
      </c>
      <c r="E22" s="620">
        <f t="shared" si="2"/>
        <v>0</v>
      </c>
      <c r="F22" s="587">
        <f t="shared" si="1"/>
        <v>0</v>
      </c>
    </row>
    <row r="23" spans="1:6" ht="45.75">
      <c r="A23" s="597" t="s">
        <v>29</v>
      </c>
      <c r="B23" s="620">
        <v>0</v>
      </c>
      <c r="C23" s="620">
        <v>0</v>
      </c>
      <c r="D23" s="620">
        <v>0</v>
      </c>
      <c r="E23" s="620">
        <f t="shared" si="2"/>
        <v>0</v>
      </c>
      <c r="F23" s="587">
        <f t="shared" si="1"/>
        <v>0</v>
      </c>
    </row>
    <row r="24" spans="1:6" ht="45.75">
      <c r="A24" s="585" t="s">
        <v>30</v>
      </c>
      <c r="B24" s="620">
        <v>0</v>
      </c>
      <c r="C24" s="620">
        <v>0</v>
      </c>
      <c r="D24" s="620">
        <v>0</v>
      </c>
      <c r="E24" s="620">
        <f t="shared" si="2"/>
        <v>0</v>
      </c>
      <c r="F24" s="587">
        <f t="shared" si="1"/>
        <v>0</v>
      </c>
    </row>
    <row r="25" spans="1:6" ht="45.75">
      <c r="A25" s="591" t="s">
        <v>31</v>
      </c>
      <c r="B25" s="620">
        <v>0</v>
      </c>
      <c r="C25" s="620">
        <v>0</v>
      </c>
      <c r="D25" s="620">
        <v>0</v>
      </c>
      <c r="E25" s="620">
        <f t="shared" si="2"/>
        <v>0</v>
      </c>
      <c r="F25" s="587">
        <f t="shared" si="1"/>
        <v>0</v>
      </c>
    </row>
    <row r="26" spans="1:6" ht="45.75">
      <c r="A26" s="597" t="s">
        <v>32</v>
      </c>
      <c r="B26" s="620">
        <v>0</v>
      </c>
      <c r="C26" s="620">
        <v>0</v>
      </c>
      <c r="D26" s="620">
        <v>0</v>
      </c>
      <c r="E26" s="620">
        <f t="shared" si="2"/>
        <v>0</v>
      </c>
      <c r="F26" s="587">
        <f t="shared" si="1"/>
        <v>0</v>
      </c>
    </row>
    <row r="27" spans="1:6" ht="47.25">
      <c r="A27" s="598" t="s">
        <v>33</v>
      </c>
      <c r="B27" s="621">
        <f>B26+B25+B24+B23+B22+B21+B20</f>
        <v>0</v>
      </c>
      <c r="C27" s="621">
        <f>C26+C25+C24+C23+C22+C21+C20</f>
        <v>0</v>
      </c>
      <c r="D27" s="621">
        <f>D26+D25+D24+D23+D22+D21+D20</f>
        <v>0</v>
      </c>
      <c r="E27" s="621">
        <f>E26+E25+E24+E23+E22+E21+E20</f>
        <v>0</v>
      </c>
      <c r="F27" s="593">
        <f t="shared" si="1"/>
        <v>0</v>
      </c>
    </row>
    <row r="28" spans="1:6" ht="49.5">
      <c r="A28" s="599" t="s">
        <v>34</v>
      </c>
      <c r="B28" s="622"/>
      <c r="C28" s="623"/>
      <c r="D28" s="623"/>
      <c r="E28" s="623"/>
      <c r="F28" s="570"/>
    </row>
    <row r="29" spans="1:6" ht="45.75">
      <c r="A29" s="600" t="s">
        <v>35</v>
      </c>
      <c r="B29" s="620">
        <v>0</v>
      </c>
      <c r="C29" s="620">
        <v>0</v>
      </c>
      <c r="D29" s="620">
        <v>0</v>
      </c>
      <c r="E29" s="620">
        <f>D29-C29</f>
        <v>0</v>
      </c>
      <c r="F29" s="587">
        <f>IF(ISERROR(E29/C29),0,(E29/C29))</f>
        <v>0</v>
      </c>
    </row>
    <row r="30" spans="1:6" ht="45.75">
      <c r="A30" s="584" t="s">
        <v>36</v>
      </c>
      <c r="B30" s="620">
        <v>0</v>
      </c>
      <c r="C30" s="620">
        <v>0</v>
      </c>
      <c r="D30" s="620">
        <v>0</v>
      </c>
      <c r="E30" s="620">
        <f>D30-C30</f>
        <v>0</v>
      </c>
      <c r="F30" s="587">
        <f>IF(ISERROR(E30/C30),0,(E30/C30))</f>
        <v>0</v>
      </c>
    </row>
    <row r="31" spans="1:6" ht="47.25">
      <c r="A31" s="601" t="s">
        <v>37</v>
      </c>
      <c r="B31" s="623"/>
      <c r="C31" s="623"/>
      <c r="D31" s="623"/>
      <c r="E31" s="623"/>
      <c r="F31" s="570"/>
    </row>
    <row r="32" spans="1:6" ht="45.75">
      <c r="A32" s="591" t="s">
        <v>38</v>
      </c>
      <c r="B32" s="620">
        <v>0</v>
      </c>
      <c r="C32" s="620">
        <v>0</v>
      </c>
      <c r="D32" s="620">
        <v>0</v>
      </c>
      <c r="E32" s="620">
        <f>D32-C32</f>
        <v>0</v>
      </c>
      <c r="F32" s="606">
        <f>IF(ISERROR(E32/C32),0,(E32/C32))</f>
        <v>0</v>
      </c>
    </row>
    <row r="33" spans="1:6" ht="45.75">
      <c r="A33" s="584" t="s">
        <v>39</v>
      </c>
      <c r="B33" s="620">
        <v>0</v>
      </c>
      <c r="C33" s="620">
        <v>0</v>
      </c>
      <c r="D33" s="620">
        <v>0</v>
      </c>
      <c r="E33" s="620">
        <f>D33-C33</f>
        <v>0</v>
      </c>
      <c r="F33" s="587">
        <f>IF(ISERROR(E33/C33),0,(E33/C33))</f>
        <v>0</v>
      </c>
    </row>
    <row r="34" spans="1:6" ht="47.25">
      <c r="A34" s="592" t="s">
        <v>40</v>
      </c>
      <c r="B34" s="621">
        <f>B33+B32+B30+B29</f>
        <v>0</v>
      </c>
      <c r="C34" s="621">
        <f>C33+C32+C30+C29</f>
        <v>0</v>
      </c>
      <c r="D34" s="621">
        <f>D33+D32+D30+D29</f>
        <v>0</v>
      </c>
      <c r="E34" s="621">
        <f>E33+E32+E30+E29</f>
        <v>0</v>
      </c>
      <c r="F34" s="607">
        <f>IF(ISERROR(E34/C34),0,(E34/C34))</f>
        <v>0</v>
      </c>
    </row>
    <row r="35" spans="1:6" ht="48" thickBot="1">
      <c r="A35" s="602" t="s">
        <v>41</v>
      </c>
      <c r="B35" s="626">
        <f>B34+B27+B12</f>
        <v>0</v>
      </c>
      <c r="C35" s="627">
        <f>C34+C27+C12</f>
        <v>0</v>
      </c>
      <c r="D35" s="627">
        <f>D34+D27+D12</f>
        <v>0</v>
      </c>
      <c r="E35" s="627">
        <f>E34+E27+E12</f>
        <v>0</v>
      </c>
      <c r="F35" s="608">
        <f>IF(ISERROR(E35/C35),0,(E35/C35))</f>
        <v>0</v>
      </c>
    </row>
    <row r="36" spans="2:5" ht="37.5" customHeight="1" thickTop="1">
      <c r="B36" s="628"/>
      <c r="C36" s="628"/>
      <c r="D36" s="628"/>
      <c r="E36" s="628"/>
    </row>
    <row r="37" spans="1:6" s="574" customFormat="1" ht="45.75">
      <c r="A37" s="572"/>
      <c r="B37" s="629"/>
      <c r="C37" s="629"/>
      <c r="D37" s="629"/>
      <c r="E37" s="629"/>
      <c r="F37" s="573"/>
    </row>
    <row r="38" spans="1:6" s="574" customFormat="1" ht="45.75">
      <c r="A38" s="575"/>
      <c r="B38" s="630"/>
      <c r="C38" s="630"/>
      <c r="D38" s="630"/>
      <c r="E38" s="630"/>
      <c r="F38" s="576"/>
    </row>
    <row r="39" spans="1:6" s="574" customFormat="1" ht="45.75">
      <c r="A39" s="577"/>
      <c r="B39" s="630"/>
      <c r="C39" s="630"/>
      <c r="D39" s="630"/>
      <c r="E39" s="630"/>
      <c r="F39" s="576"/>
    </row>
    <row r="41" ht="15.75">
      <c r="A41" s="565" t="s">
        <v>0</v>
      </c>
    </row>
    <row r="42" ht="15.75">
      <c r="A42" s="565" t="s">
        <v>0</v>
      </c>
    </row>
    <row r="44" ht="15.75">
      <c r="A44" s="565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50" zoomScaleNormal="50" zoomScalePageLayoutView="0" workbookViewId="0" topLeftCell="A1">
      <selection activeCell="K26" sqref="K26"/>
    </sheetView>
  </sheetViews>
  <sheetFormatPr defaultColWidth="9.6640625" defaultRowHeight="15"/>
  <cols>
    <col min="1" max="1" width="69.6640625" style="103" customWidth="1"/>
    <col min="2" max="2" width="23.21484375" style="103" customWidth="1"/>
    <col min="3" max="3" width="24.10546875" style="103" customWidth="1"/>
    <col min="4" max="4" width="24.5546875" style="103" customWidth="1"/>
    <col min="5" max="5" width="27.21484375" style="103" customWidth="1"/>
    <col min="6" max="6" width="30.5546875" style="411" customWidth="1"/>
    <col min="7" max="16384" width="9.6640625" style="1" customWidth="1"/>
  </cols>
  <sheetData>
    <row r="1" spans="1:6" ht="20.25">
      <c r="A1" s="104" t="s">
        <v>2</v>
      </c>
      <c r="B1" s="409" t="s">
        <v>0</v>
      </c>
      <c r="D1" s="105" t="s">
        <v>3</v>
      </c>
      <c r="E1" s="410" t="s">
        <v>51</v>
      </c>
      <c r="F1" s="410"/>
    </row>
    <row r="2" ht="20.25">
      <c r="A2" s="104" t="s">
        <v>9</v>
      </c>
    </row>
    <row r="3" spans="1:6" ht="21" thickBot="1">
      <c r="A3" s="106" t="s">
        <v>10</v>
      </c>
      <c r="B3" s="434"/>
      <c r="C3" s="434"/>
      <c r="D3" s="434"/>
      <c r="E3" s="434"/>
      <c r="F3" s="435"/>
    </row>
    <row r="4" spans="1:6" ht="21" thickTop="1">
      <c r="A4" s="419" t="s">
        <v>11</v>
      </c>
      <c r="B4" s="436" t="s">
        <v>4</v>
      </c>
      <c r="C4" s="437" t="s">
        <v>5</v>
      </c>
      <c r="D4" s="437" t="s">
        <v>5</v>
      </c>
      <c r="E4" s="438" t="s">
        <v>7</v>
      </c>
      <c r="F4" s="439" t="s">
        <v>1</v>
      </c>
    </row>
    <row r="5" spans="1:5" s="75" customFormat="1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20.25">
      <c r="A6" s="421" t="s">
        <v>12</v>
      </c>
      <c r="B6" s="440"/>
      <c r="C6" s="412"/>
      <c r="D6" s="412"/>
      <c r="E6" s="412"/>
      <c r="F6" s="441"/>
    </row>
    <row r="7" spans="1:6" ht="20.25">
      <c r="A7" s="420" t="s">
        <v>13</v>
      </c>
      <c r="B7" s="442">
        <f>SUM(LTC!B7,BRCC!B7,BPCC!B7,RPCC!B7,SLCC!B7,LDCC!B7,NUNEZ!B7,DELGADO!B7,FLETCHER!B7,SOWELA!B7,LCTCSBOS!B7)</f>
        <v>0</v>
      </c>
      <c r="C7" s="442">
        <f>SUM(LTC!C7,BRCC!C7,BPCC!C7,RPCC!C7,SLCC!C7,LDCC!C7,NUNEZ!C7,DELGADO!C7,FLETCHER!C7,SOWELA!C7,LCTCSBOS!C7)</f>
        <v>0</v>
      </c>
      <c r="D7" s="442">
        <f>SUM(LTC!D7,BRCC!D7,BPCC!D7,RPCC!D7,SLCC!D7,LDCC!D7,NUNEZ!D7,DELGADO!D7,FLETCHER!D7,SOWELA!D7,LCTCSBOS!D7)</f>
        <v>0</v>
      </c>
      <c r="E7" s="413">
        <f>D7-C7</f>
        <v>0</v>
      </c>
      <c r="F7" s="441"/>
    </row>
    <row r="8" spans="1:6" ht="20.25">
      <c r="A8" s="422" t="s">
        <v>14</v>
      </c>
      <c r="B8" s="442">
        <f>SUM(LTC!B8,BRCC!B8,BPCC!B8,RPCC!B8,SLCC!B8,LDCC!B8,NUNEZ!B8,DELGADO!B8,FLETCHER!B8,SOWELA!B8,LCTCSBOS!B8,)</f>
        <v>0</v>
      </c>
      <c r="C8" s="442">
        <f>SUM(LTC!C8,BRCC!C8,BPCC!C8,RPCC!C8,SLCC!C8,LDCC!C8,NUNEZ!C8,DELGADO!C8,FLETCHER!C8,SOWELA!C8,LCTCSBOS!C8,)</f>
        <v>0</v>
      </c>
      <c r="D8" s="442">
        <f>SUM(LTC!D8,BRCC!D8,BPCC!D8,RPCC!D8,SLCC!D8,LDCC!D8,NUNEZ!D8,DELGADO!D8,FLETCHER!D8,SOWELA!D8,LCTCSBOS!D8,)</f>
        <v>0</v>
      </c>
      <c r="E8" s="413">
        <f aca="true" t="shared" si="0" ref="E8:E35">D8-C8</f>
        <v>0</v>
      </c>
      <c r="F8" s="443">
        <v>0</v>
      </c>
    </row>
    <row r="9" spans="1:6" ht="20.25">
      <c r="A9" s="423" t="s">
        <v>15</v>
      </c>
      <c r="B9" s="442">
        <f>SUM(LTC!B9,BRCC!B9,BPCC!B9,RPCC!B9,SLCC!B9,LDCC!B9,NUNEZ!B9,DELGADO!B9,FLETCHER!B9,SOWELA!B9,LCTCSBOS!B9,)</f>
        <v>0</v>
      </c>
      <c r="C9" s="442">
        <f>SUM(LTC!C9,BRCC!C9,BPCC!C9,RPCC!C9,SLCC!C9,LDCC!C9,NUNEZ!C9,DELGADO!C9,FLETCHER!C9,SOWELA!C9,LCTCSBOS!C9,)</f>
        <v>0</v>
      </c>
      <c r="D9" s="442">
        <f>SUM(LTC!D9,BRCC!D9,BPCC!D9,RPCC!D9,SLCC!D9,LDCC!D9,NUNEZ!D9,DELGADO!D9,FLETCHER!D9,SOWELA!D9,LCTCSBOS!D9,)</f>
        <v>0</v>
      </c>
      <c r="E9" s="413">
        <f t="shared" si="0"/>
        <v>0</v>
      </c>
      <c r="F9" s="443">
        <v>0</v>
      </c>
    </row>
    <row r="10" spans="1:6" ht="20.25">
      <c r="A10" s="424" t="s">
        <v>16</v>
      </c>
      <c r="B10" s="442">
        <f>SUM(LTC!B10,BRCC!B10,BPCC!B10,RPCC!B10,SLCC!B10,LDCC!B10,NUNEZ!B10,DELGADO!B10,FLETCHER!B10,SOWELA!B10,LCTCSBOS!B10,)</f>
        <v>0</v>
      </c>
      <c r="C10" s="442">
        <f>SUM(LTC!C10,BRCC!C10,BPCC!C10,RPCC!C10,SLCC!C10,LDCC!C10,NUNEZ!C10,DELGADO!C10,FLETCHER!C10,SOWELA!C10,LCTCSBOS!C10,)</f>
        <v>0</v>
      </c>
      <c r="D10" s="442">
        <f>SUM(LTC!D10,BRCC!D10,BPCC!D10,RPCC!D10,SLCC!D10,LDCC!D10,NUNEZ!D10,DELGADO!D10,FLETCHER!D10,SOWELA!D10,LCTCSBOS!D10,)</f>
        <v>0</v>
      </c>
      <c r="E10" s="413">
        <f t="shared" si="0"/>
        <v>0</v>
      </c>
      <c r="F10" s="443">
        <v>0</v>
      </c>
    </row>
    <row r="11" spans="1:6" ht="20.25">
      <c r="A11" s="424" t="s">
        <v>17</v>
      </c>
      <c r="B11" s="442">
        <f>SUM(LTC!B11,BRCC!B11,BPCC!B11,RPCC!B11,SLCC!B11,LDCC!B11,NUNEZ!B11,DELGADO!B11,FLETCHER!B11,SOWELA!B11,LCTCSBOS!B11,)</f>
        <v>0</v>
      </c>
      <c r="C11" s="442">
        <f>SUM(LTC!C11,BRCC!C11,BPCC!C11,RPCC!C11,SLCC!C11,LDCC!C11,NUNEZ!C11,DELGADO!C11,FLETCHER!C11,SOWELA!C11,LCTCSBOS!C11,)</f>
        <v>10944884</v>
      </c>
      <c r="D11" s="442">
        <f>SUM(LTC!D11,BRCC!D11,BPCC!D11,RPCC!D11,SLCC!D11,LDCC!D11,NUNEZ!D11,DELGADO!D11,FLETCHER!D11,SOWELA!D11,LCTCSBOS!D11,)</f>
        <v>0</v>
      </c>
      <c r="E11" s="413">
        <f t="shared" si="0"/>
        <v>-10944884</v>
      </c>
      <c r="F11" s="443">
        <f aca="true" t="shared" si="1" ref="F11:F32">E11/C11</f>
        <v>-1</v>
      </c>
    </row>
    <row r="12" spans="1:6" s="418" customFormat="1" ht="20.25">
      <c r="A12" s="425" t="s">
        <v>18</v>
      </c>
      <c r="B12" s="444">
        <f>SUM(B7:B11)</f>
        <v>0</v>
      </c>
      <c r="C12" s="444">
        <f>SUM(C7:C11)</f>
        <v>10944884</v>
      </c>
      <c r="D12" s="444">
        <f>SUM(D7:D11)</f>
        <v>0</v>
      </c>
      <c r="E12" s="417">
        <f t="shared" si="0"/>
        <v>-10944884</v>
      </c>
      <c r="F12" s="445">
        <f t="shared" si="1"/>
        <v>-1</v>
      </c>
    </row>
    <row r="13" spans="1:6" ht="20.25">
      <c r="A13" s="421" t="s">
        <v>19</v>
      </c>
      <c r="B13" s="446"/>
      <c r="C13" s="446"/>
      <c r="D13" s="446"/>
      <c r="E13" s="413"/>
      <c r="F13" s="447"/>
    </row>
    <row r="14" spans="1:6" ht="20.25">
      <c r="A14" s="426" t="s">
        <v>20</v>
      </c>
      <c r="B14" s="448"/>
      <c r="C14" s="448"/>
      <c r="D14" s="448"/>
      <c r="E14" s="413"/>
      <c r="F14" s="449"/>
    </row>
    <row r="15" spans="1:6" ht="20.25">
      <c r="A15" s="420" t="s">
        <v>21</v>
      </c>
      <c r="B15" s="442">
        <f>SUM(LTC!B15,BRCC!B15,BPCC!B15,RPCC!B15,SLCC!B15,LDCC!B15,NUNEZ!B15,DELGADO!B15,FLETCHER!B15,SOWELA!B15,LCTCSBOS!B15,)</f>
        <v>54365049.14</v>
      </c>
      <c r="C15" s="442">
        <f>SUM(LTC!C15,BRCC!C15,BPCC!C15,RPCC!C15,SLCC!C15,LDCC!C15,NUNEZ!C15,DELGADO!C15,FLETCHER!C15,SOWELA!C15,LCTCSBOS!C15,)</f>
        <v>59190658</v>
      </c>
      <c r="D15" s="442">
        <f>SUM(LTC!D15,BRCC!D15,BPCC!D15,RPCC!D15,SLCC!D15,LDCC!D15,NUNEZ!D15,DELGADO!D15,FLETCHER!D15,SOWELA!D15,LCTCSBOS!D15,)</f>
        <v>60415880</v>
      </c>
      <c r="E15" s="413">
        <f t="shared" si="0"/>
        <v>1225222</v>
      </c>
      <c r="F15" s="443">
        <f t="shared" si="1"/>
        <v>0.020699584045847236</v>
      </c>
    </row>
    <row r="16" spans="1:6" ht="20.25">
      <c r="A16" s="420" t="s">
        <v>22</v>
      </c>
      <c r="B16" s="442">
        <f>SUM(LTC!B16,BRCC!B16,BPCC!B16,RPCC!B16,SLCC!B16,LDCC!B16,NUNEZ!B16,DELGADO!B16,FLETCHER!B16,SOWELA!B16,LCTCSBOS!B16,)</f>
        <v>2298475.86</v>
      </c>
      <c r="C16" s="442">
        <f>SUM(LTC!C16,BRCC!C16,BPCC!C16,RPCC!C16,SLCC!C16,LDCC!C16,NUNEZ!C16,DELGADO!C16,FLETCHER!C16,SOWELA!C16,LCTCSBOS!C16,)</f>
        <v>2081685</v>
      </c>
      <c r="D16" s="442">
        <f>SUM(LTC!D16,BRCC!D16,BPCC!D16,RPCC!D16,SLCC!D16,LDCC!D16,NUNEZ!D16,DELGADO!D16,FLETCHER!D16,SOWELA!D16,LCTCSBOS!D16,)</f>
        <v>2360174</v>
      </c>
      <c r="E16" s="413">
        <f t="shared" si="0"/>
        <v>278489</v>
      </c>
      <c r="F16" s="443">
        <f t="shared" si="1"/>
        <v>0.1337805671847566</v>
      </c>
    </row>
    <row r="17" spans="1:6" ht="20.25">
      <c r="A17" s="427" t="s">
        <v>23</v>
      </c>
      <c r="B17" s="442">
        <f>SUM(LTC!B17,BRCC!B17,BPCC!B17,RPCC!B17,SLCC!B17,LDCC!B17,NUNEZ!B17,DELGADO!B17,FLETCHER!B17,SOWELA!B17,LCTCSBOS!B17)</f>
        <v>5795126.34</v>
      </c>
      <c r="C17" s="442">
        <f>SUM(LTC!C17,BRCC!C17,BPCC!C17,RPCC!C17,SLCC!C17,LDCC!C17,NUNEZ!C17,DELGADO!C17,FLETCHER!C17,SOWELA!C17,LCTCSBOS!C17)</f>
        <v>6444894</v>
      </c>
      <c r="D17" s="442">
        <f>SUM(LTC!D17,BRCC!D17,BPCC!D17,RPCC!D17,SLCC!D17,LDCC!D17,NUNEZ!D17,DELGADO!D17,FLETCHER!D17,SOWELA!D17,LCTCSBOS!D17)</f>
        <v>5923108</v>
      </c>
      <c r="E17" s="413">
        <f t="shared" si="0"/>
        <v>-521786</v>
      </c>
      <c r="F17" s="443">
        <f t="shared" si="1"/>
        <v>-0.08096114536561812</v>
      </c>
    </row>
    <row r="18" spans="1:6" ht="20.25">
      <c r="A18" s="427" t="s">
        <v>24</v>
      </c>
      <c r="B18" s="442">
        <f>SUM(LTC!B18,BRCC!B18,BPCC!B18,RPCC!B18,SLCC!B18,LDCC!B18,NUNEZ!B18,DELGADO!B18,FLETCHER!B18,SOWELA!B18,LCTCSBOS!B18,)</f>
        <v>2083719.29</v>
      </c>
      <c r="C18" s="442">
        <f>SUM(LTC!C18,BRCC!C18,BPCC!C18,RPCC!C18,SLCC!C18,LDCC!C18,NUNEZ!C18,DELGADO!C18,FLETCHER!C18,SOWELA!C18,LCTCSBOS!C18,)</f>
        <v>2151279</v>
      </c>
      <c r="D18" s="442">
        <f>SUM(LTC!D18,BRCC!D18,BPCC!D18,RPCC!D18,SLCC!D18,LDCC!D18,NUNEZ!D18,DELGADO!D18,FLETCHER!D18,SOWELA!D18,LCTCSBOS!D18,)</f>
        <v>2200638</v>
      </c>
      <c r="E18" s="413">
        <f t="shared" si="0"/>
        <v>49359</v>
      </c>
      <c r="F18" s="443">
        <f t="shared" si="1"/>
        <v>0.022944025391406695</v>
      </c>
    </row>
    <row r="19" spans="1:6" ht="20.25">
      <c r="A19" s="420" t="s">
        <v>25</v>
      </c>
      <c r="B19" s="442">
        <f>SUM(LTC!B19,BRCC!B19,BPCC!B19,RPCC!B19,SLCC!B19,LDCC!B19,NUNEZ!B19,DELGADO!B19,FLETCHER!B19,SOWELA!B19,LCTCSBOS!B19)</f>
        <v>1310607.8</v>
      </c>
      <c r="C19" s="442">
        <f>SUM(LTC!C19,BRCC!C19,BPCC!C19,RPCC!C19,SLCC!C19,LDCC!C19,NUNEZ!C19,DELGADO!C19,FLETCHER!C19,SOWELA!C19,LCTCSBOS!C19)</f>
        <v>1669834</v>
      </c>
      <c r="D19" s="442">
        <f>SUM(LTC!D19,BRCC!D19,BPCC!D19,RPCC!D19,SLCC!D19,LDCC!D19,NUNEZ!D19,DELGADO!D19,FLETCHER!D19,SOWELA!D19,LCTCSBOS!D19)</f>
        <v>1497885</v>
      </c>
      <c r="E19" s="442">
        <f>SUM(LTC!E19,BRCC!E19,BPCC!E19,RPCC!E19,SLCC!E19,LDCC!E19,NUNEZ!E19,DELGADO!E19,FLETCHER!E19,SOWELA!E19,LCTCSBOS!E19)</f>
        <v>-171240</v>
      </c>
      <c r="F19" s="442">
        <f>SUM(LTC!F19,BRCC!F19,BPCC!F19,RPCC!F19,SLCC!F19,LDCC!F19,NUNEZ!F19,DELGADO!F19,FLETCHER!F19,SOWELA!F19,LCTCSBOS!F19)</f>
        <v>0</v>
      </c>
    </row>
    <row r="20" spans="1:6" s="418" customFormat="1" ht="20.25">
      <c r="A20" s="421" t="s">
        <v>26</v>
      </c>
      <c r="B20" s="444">
        <f>SUM(B15:B19)</f>
        <v>65852978.43</v>
      </c>
      <c r="C20" s="444">
        <f>SUM(C15:C19)</f>
        <v>71538350</v>
      </c>
      <c r="D20" s="444">
        <f>SUM(D15:D19)</f>
        <v>72397685</v>
      </c>
      <c r="E20" s="417">
        <f t="shared" si="0"/>
        <v>859335</v>
      </c>
      <c r="F20" s="445">
        <f t="shared" si="1"/>
        <v>0.012012228406162569</v>
      </c>
    </row>
    <row r="21" spans="1:6" ht="20.25">
      <c r="A21" s="428" t="s">
        <v>27</v>
      </c>
      <c r="B21" s="442">
        <f>SUM(LTC!B21,BRCC!B21,BPCC!B21,RPCC!B21,SLCC!B21,LDCC!B21,NUNEZ!B21,DELGADO!B21,FLETCHER!B21,SOWELA!B21,LCTCSBOS!B21)</f>
        <v>0</v>
      </c>
      <c r="C21" s="442">
        <f>SUM(LTC!C21,BRCC!C21,BPCC!C21,RPCC!C21,SLCC!C21,LDCC!C21,NUNEZ!C21,DELGADO!C21,FLETCHER!C21,SOWELA!C21,LCTCSBOS!C21)</f>
        <v>0</v>
      </c>
      <c r="D21" s="442">
        <f>SUM(LTC!D21,BRCC!D21,BPCC!D21,RPCC!D21,SLCC!D21,LDCC!D21,NUNEZ!D21,DELGADO!D21,FLETCHER!D21,SOWELA!D21,LCTCSBOS!D21)</f>
        <v>0</v>
      </c>
      <c r="E21" s="413">
        <f t="shared" si="0"/>
        <v>0</v>
      </c>
      <c r="F21" s="443">
        <v>0</v>
      </c>
    </row>
    <row r="22" spans="1:6" ht="20.25">
      <c r="A22" s="427" t="s">
        <v>28</v>
      </c>
      <c r="B22" s="442">
        <f>SUM(LTC!B22,BRCC!B22,BPCC!B22,RPCC!B22,SLCC!B22,LDCC!B22,NUNEZ!B22,DELGADO!B22,FLETCHER!B22,SOWELA!B22,LCTCSBOS!B22)</f>
        <v>1078077.8699999999</v>
      </c>
      <c r="C22" s="442">
        <f>SUM(LTC!C22,BRCC!C22,BPCC!C22,RPCC!C22,SLCC!C22,LDCC!C22,NUNEZ!C22,DELGADO!C22,FLETCHER!C22,SOWELA!C22,LCTCSBOS!C22)</f>
        <v>1054296</v>
      </c>
      <c r="D22" s="442">
        <f>SUM(LTC!D22,BRCC!D22,BPCC!D22,RPCC!D22,SLCC!D22,LDCC!D22,NUNEZ!D22,DELGADO!D22,FLETCHER!D22,SOWELA!D22,LCTCSBOS!D22)</f>
        <v>1160427</v>
      </c>
      <c r="E22" s="413">
        <f t="shared" si="0"/>
        <v>106131</v>
      </c>
      <c r="F22" s="443">
        <f t="shared" si="1"/>
        <v>0.10066527806232785</v>
      </c>
    </row>
    <row r="23" spans="1:6" ht="20.25">
      <c r="A23" s="429" t="s">
        <v>29</v>
      </c>
      <c r="B23" s="442">
        <f>SUM(LTC!B23,BRCC!B23,BPCC!B23,RPCC!B23,SLCC!B23,LDCC!B23,NUNEZ!B23,DELGADO!B23,FLETCHER!B23,SOWELA!B23,LCTCSBOS!B23)</f>
        <v>0</v>
      </c>
      <c r="C23" s="442">
        <f>SUM(LTC!C23,BRCC!C23,BPCC!C23,RPCC!C23,SLCC!C23,LDCC!C23,NUNEZ!C23,DELGADO!C23,FLETCHER!C23,SOWELA!C23,LCTCSBOS!C23)</f>
        <v>0</v>
      </c>
      <c r="D23" s="442">
        <f>SUM(LTC!D23,BRCC!D23,BPCC!D23,RPCC!D23,SLCC!D23,LDCC!D23,NUNEZ!D23,DELGADO!D23,FLETCHER!D23,SOWELA!D23,LCTCSBOS!D23)</f>
        <v>0</v>
      </c>
      <c r="E23" s="413">
        <f t="shared" si="0"/>
        <v>0</v>
      </c>
      <c r="F23" s="443" t="e">
        <f t="shared" si="1"/>
        <v>#DIV/0!</v>
      </c>
    </row>
    <row r="24" spans="1:6" ht="20.25">
      <c r="A24" s="423" t="s">
        <v>30</v>
      </c>
      <c r="B24" s="442">
        <f>SUM(LTC!B24,BRCC!B24,BPCC!B24,RPCC!B24,SLCC!B24,LDCC!B24,NUNEZ!B24,DELGADO!B24,FLETCHER!B24,SOWELA!B24,LCTCSBOS!B24)</f>
        <v>0</v>
      </c>
      <c r="C24" s="442">
        <f>SUM(LTC!C24,BRCC!C24,BPCC!C24,RPCC!C24,SLCC!C24,LDCC!C24,NUNEZ!C24,DELGADO!C24,FLETCHER!C24,SOWELA!C24,LCTCSBOS!C24)</f>
        <v>0</v>
      </c>
      <c r="D24" s="442">
        <f>SUM(LTC!D24,BRCC!D24,BPCC!D24,RPCC!D24,SLCC!D24,LDCC!D24,NUNEZ!D24,DELGADO!D24,FLETCHER!D24,SOWELA!D24,LCTCSBOS!D24)</f>
        <v>0</v>
      </c>
      <c r="E24" s="413">
        <f t="shared" si="0"/>
        <v>0</v>
      </c>
      <c r="F24" s="443">
        <v>0</v>
      </c>
    </row>
    <row r="25" spans="1:6" ht="20.25">
      <c r="A25" s="427" t="s">
        <v>31</v>
      </c>
      <c r="B25" s="442">
        <f>SUM(LTC!B25,BRCC!B25,BPCC!B25,RPCC!B25,SLCC!B25,LDCC!B25,NUNEZ!B25,DELGADO!B25,FLETCHER!B25,SOWELA!B25,LCTCSBOS!B25,)</f>
        <v>0</v>
      </c>
      <c r="C25" s="442">
        <f>SUM(LTC!C25,BRCC!C25,BPCC!C25,RPCC!C25,SLCC!C25,LDCC!C25,NUNEZ!C25,DELGADO!C25,FLETCHER!C25,SOWELA!C25,LCTCSBOS!C25,)</f>
        <v>0</v>
      </c>
      <c r="D25" s="442">
        <f>SUM(LTC!D25,BRCC!D25,BPCC!D25,RPCC!D25,SLCC!D25,LDCC!D25,NUNEZ!D25,DELGADO!D25,FLETCHER!D25,SOWELA!D25,LCTCSBOS!D25,)</f>
        <v>0</v>
      </c>
      <c r="E25" s="413">
        <f t="shared" si="0"/>
        <v>0</v>
      </c>
      <c r="F25" s="443">
        <v>0</v>
      </c>
    </row>
    <row r="26" spans="1:6" ht="20.25">
      <c r="A26" s="429" t="s">
        <v>32</v>
      </c>
      <c r="B26" s="442">
        <f>SUM(LTC!B26,BRCC!B26,BPCC!B26,RPCC!B26,SLCC!B26,LDCC!B26,NUNEZ!B26,DELGADO!B26,FLETCHER!B26,SOWELA!B26,LCTCSBOS!B26)</f>
        <v>2800018.5700000003</v>
      </c>
      <c r="C26" s="442">
        <f>SUM(LTC!C26,BRCC!C26,BPCC!C26,RPCC!C26,SLCC!C26,LDCC!C26,NUNEZ!C26,DELGADO!C26,FLETCHER!C26,SOWELA!C26,LCTCSBOS!C26)</f>
        <v>3225776</v>
      </c>
      <c r="D26" s="442">
        <f>SUM(LTC!D26,BRCC!D26,BPCC!D26,RPCC!D26,SLCC!D26,LDCC!D26,NUNEZ!D26,DELGADO!D26,FLETCHER!D26,SOWELA!D26,LCTCSBOS!D26)</f>
        <v>3309767</v>
      </c>
      <c r="E26" s="413">
        <f t="shared" si="0"/>
        <v>83991</v>
      </c>
      <c r="F26" s="443">
        <f t="shared" si="1"/>
        <v>0.02603745579358269</v>
      </c>
    </row>
    <row r="27" spans="1:6" s="418" customFormat="1" ht="20.25">
      <c r="A27" s="430" t="s">
        <v>33</v>
      </c>
      <c r="B27" s="444">
        <f>SUM(B20:B26)</f>
        <v>69731074.87</v>
      </c>
      <c r="C27" s="444">
        <f>SUM(C20:C26)</f>
        <v>75818422</v>
      </c>
      <c r="D27" s="444">
        <f>SUM(D20:D26)</f>
        <v>76867879</v>
      </c>
      <c r="E27" s="417">
        <f t="shared" si="0"/>
        <v>1049457</v>
      </c>
      <c r="F27" s="445">
        <f t="shared" si="1"/>
        <v>0.013841715144111017</v>
      </c>
    </row>
    <row r="28" spans="1:6" ht="20.25">
      <c r="A28" s="426" t="s">
        <v>34</v>
      </c>
      <c r="B28" s="442"/>
      <c r="C28" s="442"/>
      <c r="D28" s="442"/>
      <c r="E28" s="413"/>
      <c r="F28" s="443"/>
    </row>
    <row r="29" spans="1:6" ht="20.25">
      <c r="A29" s="431" t="s">
        <v>35</v>
      </c>
      <c r="B29" s="442">
        <f>SUM(LTC!B29,BRCC!B29,BPCC!B29,RPCC!B29,SLCC!B29,LDCC!B29,NUNEZ!B29,DELGADO!B29,FLETCHER!B29,SOWELA!B29,LCTCSBOS!B29)</f>
        <v>23623026</v>
      </c>
      <c r="C29" s="442">
        <f>SUM(LTC!C29,BRCC!C29,BPCC!C29,RPCC!C29,SLCC!C29,LDCC!C29,NUNEZ!C29,DELGADO!C29,FLETCHER!C29,SOWELA!C29,LCTCSBOS!C29)</f>
        <v>28932083</v>
      </c>
      <c r="D29" s="442">
        <f>SUM(LTC!D29,BRCC!D29,BPCC!D29,RPCC!D29,SLCC!D29,LDCC!D29,NUNEZ!D29,DELGADO!D29,FLETCHER!D29,SOWELA!D29,LCTCSBOS!D29)</f>
        <v>0</v>
      </c>
      <c r="E29" s="413">
        <f t="shared" si="0"/>
        <v>-28932083</v>
      </c>
      <c r="F29" s="443">
        <v>0</v>
      </c>
    </row>
    <row r="30" spans="1:6" ht="20.25">
      <c r="A30" s="422" t="s">
        <v>36</v>
      </c>
      <c r="B30" s="442">
        <v>0</v>
      </c>
      <c r="C30" s="442">
        <v>0</v>
      </c>
      <c r="D30" s="442">
        <v>0</v>
      </c>
      <c r="E30" s="413">
        <f t="shared" si="0"/>
        <v>0</v>
      </c>
      <c r="F30" s="443">
        <v>0</v>
      </c>
    </row>
    <row r="31" spans="1:6" ht="20.25">
      <c r="A31" s="432" t="s">
        <v>37</v>
      </c>
      <c r="B31" s="450"/>
      <c r="C31" s="450"/>
      <c r="D31" s="450"/>
      <c r="E31" s="413"/>
      <c r="F31" s="447"/>
    </row>
    <row r="32" spans="1:6" ht="20.25">
      <c r="A32" s="427" t="s">
        <v>38</v>
      </c>
      <c r="B32" s="442">
        <f>SUM(LTC!B32,BRCC!B32,BPCC!B32,RPCC!B32,SLCC!B32,LDCC!B32,NUNEZ!B32,DELGADO!B32,FLETCHER!B32,SOWELA!B32,LCTCSBOS!B32)</f>
        <v>17246829.9</v>
      </c>
      <c r="C32" s="442">
        <f>SUM(LTC!C32,BRCC!C32,BPCC!C32,RPCC!C32,SLCC!C32,LDCC!C32,NUNEZ!C32,DELGADO!C32,FLETCHER!C32,SOWELA!C32,LCTCSBOS!C32)</f>
        <v>17246830</v>
      </c>
      <c r="D32" s="442">
        <f>SUM(LTC!D32,BRCC!D32,BPCC!D32,RPCC!D32,SLCC!D32,LDCC!D32,NUNEZ!D32,DELGADO!D32,FLETCHER!D32,SOWELA!D32,LCTCSBOS!D32)</f>
        <v>0</v>
      </c>
      <c r="E32" s="413">
        <f t="shared" si="0"/>
        <v>-17246830</v>
      </c>
      <c r="F32" s="445">
        <f t="shared" si="1"/>
        <v>-1</v>
      </c>
    </row>
    <row r="33" spans="1:6" ht="20.25">
      <c r="A33" s="422" t="s">
        <v>39</v>
      </c>
      <c r="B33" s="442">
        <f>SUM(LTC!B33,BRCC!B33,BPCC!B33,RPCC!B33,SLCC!B33,LDCC!B33,NUNEZ!B33,DELGADO!B33,FLETCHER!B33,SOWELA!B33)</f>
        <v>4585537</v>
      </c>
      <c r="C33" s="442">
        <f>SUM(LTC!C33,BRCC!C33,BPCC!C33,RPCC!C33,SLCC!C33,LDCC!C33,NUNEZ!C33,DELGADO!C33,FLETCHER!C33,SOWELA!C33)</f>
        <v>4476863</v>
      </c>
      <c r="D33" s="442">
        <f>SUM(LTC!D33,BRCC!D33,BPCC!D33,RPCC!D33,SLCC!D33,LDCC!D33,NUNEZ!D33,DELGADO!D33,FLETCHER!D33,SOWELA!D33)</f>
        <v>0</v>
      </c>
      <c r="E33" s="413">
        <f t="shared" si="0"/>
        <v>-4476863</v>
      </c>
      <c r="F33" s="443">
        <f>E33/C33</f>
        <v>-1</v>
      </c>
    </row>
    <row r="34" spans="1:6" s="418" customFormat="1" ht="20.25">
      <c r="A34" s="421" t="s">
        <v>40</v>
      </c>
      <c r="B34" s="444">
        <f>SUM(B29:B33)</f>
        <v>45455392.9</v>
      </c>
      <c r="C34" s="444">
        <f>SUM(C29:C33)</f>
        <v>50655776</v>
      </c>
      <c r="D34" s="444">
        <f>SUM(D29:D33)</f>
        <v>0</v>
      </c>
      <c r="E34" s="413">
        <f t="shared" si="0"/>
        <v>-50655776</v>
      </c>
      <c r="F34" s="451"/>
    </row>
    <row r="35" spans="1:6" s="418" customFormat="1" ht="21" thickBot="1">
      <c r="A35" s="433" t="s">
        <v>41</v>
      </c>
      <c r="B35" s="452">
        <f>SUM(B34,B27,B12)</f>
        <v>115186467.77000001</v>
      </c>
      <c r="C35" s="452">
        <f>SUM(C34,C27,C12)</f>
        <v>137419082</v>
      </c>
      <c r="D35" s="452">
        <f>SUM(D34,D27,D12)</f>
        <v>76867879</v>
      </c>
      <c r="E35" s="453">
        <f t="shared" si="0"/>
        <v>-60551203</v>
      </c>
      <c r="F35" s="454">
        <f>E35/C35</f>
        <v>-0.4406316948034917</v>
      </c>
    </row>
    <row r="36" spans="1:6" ht="21" thickTop="1">
      <c r="A36" s="414"/>
      <c r="B36" s="415"/>
      <c r="C36" s="415"/>
      <c r="D36" s="415"/>
      <c r="E36" s="415"/>
      <c r="F36" s="416"/>
    </row>
    <row r="37" spans="1:6" s="75" customFormat="1" ht="20.25">
      <c r="A37" s="107" t="s">
        <v>47</v>
      </c>
      <c r="B37" s="74"/>
      <c r="C37" s="74"/>
      <c r="D37" s="74"/>
      <c r="E37" s="74"/>
      <c r="F37" s="99"/>
    </row>
    <row r="38" spans="1:6" s="75" customFormat="1" ht="20.25">
      <c r="A38" s="99"/>
      <c r="B38" s="100"/>
      <c r="C38" s="100"/>
      <c r="D38" s="100"/>
      <c r="E38" s="409"/>
      <c r="F38" s="100"/>
    </row>
    <row r="39" spans="1:6" s="75" customFormat="1" ht="20.25">
      <c r="A39" s="108" t="s">
        <v>43</v>
      </c>
      <c r="B39" s="100"/>
      <c r="C39" s="100"/>
      <c r="D39" s="100"/>
      <c r="E39" s="100"/>
      <c r="F39" s="10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52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251" t="s">
        <v>12</v>
      </c>
      <c r="B6" s="266"/>
      <c r="C6" s="266"/>
      <c r="D6" s="266"/>
      <c r="E6" s="267"/>
      <c r="F6" s="74"/>
    </row>
    <row r="7" spans="1:6" ht="34.5">
      <c r="A7" s="252" t="s">
        <v>13</v>
      </c>
      <c r="B7" s="682"/>
      <c r="C7" s="682"/>
      <c r="D7" s="682"/>
      <c r="E7" s="683">
        <f aca="true" t="shared" si="0" ref="E7:E12">D7-C7</f>
        <v>0</v>
      </c>
      <c r="F7" s="74"/>
    </row>
    <row r="8" spans="1:6" ht="34.5">
      <c r="A8" s="253" t="s">
        <v>14</v>
      </c>
      <c r="B8" s="684"/>
      <c r="C8" s="684"/>
      <c r="D8" s="684"/>
      <c r="E8" s="685">
        <f t="shared" si="0"/>
        <v>0</v>
      </c>
      <c r="F8" s="74"/>
    </row>
    <row r="9" spans="1:6" ht="34.5">
      <c r="A9" s="254" t="s">
        <v>15</v>
      </c>
      <c r="B9" s="684"/>
      <c r="C9" s="684"/>
      <c r="D9" s="684"/>
      <c r="E9" s="685">
        <f t="shared" si="0"/>
        <v>0</v>
      </c>
      <c r="F9" s="74"/>
    </row>
    <row r="10" spans="1:6" ht="34.5">
      <c r="A10" s="255" t="s">
        <v>16</v>
      </c>
      <c r="B10" s="684"/>
      <c r="C10" s="684"/>
      <c r="D10" s="684"/>
      <c r="E10" s="685">
        <f t="shared" si="0"/>
        <v>0</v>
      </c>
      <c r="F10" s="74"/>
    </row>
    <row r="11" spans="1:6" ht="34.5">
      <c r="A11" s="255" t="s">
        <v>17</v>
      </c>
      <c r="B11" s="270"/>
      <c r="C11" s="270">
        <v>10944884</v>
      </c>
      <c r="D11" s="270"/>
      <c r="E11" s="685">
        <f t="shared" si="0"/>
        <v>-10944884</v>
      </c>
      <c r="F11" s="74"/>
    </row>
    <row r="12" spans="1:6" ht="35.25">
      <c r="A12" s="256" t="s">
        <v>18</v>
      </c>
      <c r="B12" s="686">
        <f>B10+B9+B8+B7+B11</f>
        <v>0</v>
      </c>
      <c r="C12" s="686">
        <f>C10+C9+C8+C7+C11</f>
        <v>10944884</v>
      </c>
      <c r="D12" s="686">
        <f>D10+D9+D8+D7+D11</f>
        <v>0</v>
      </c>
      <c r="E12" s="687">
        <f t="shared" si="0"/>
        <v>-10944884</v>
      </c>
      <c r="F12" s="74"/>
    </row>
    <row r="13" spans="1:6" ht="35.25">
      <c r="A13" s="251" t="s">
        <v>19</v>
      </c>
      <c r="B13" s="684"/>
      <c r="C13" s="684"/>
      <c r="D13" s="684"/>
      <c r="E13" s="685"/>
      <c r="F13" s="74"/>
    </row>
    <row r="14" spans="1:6" ht="35.25">
      <c r="A14" s="257" t="s">
        <v>20</v>
      </c>
      <c r="B14" s="682"/>
      <c r="C14" s="682"/>
      <c r="D14" s="682"/>
      <c r="E14" s="683"/>
      <c r="F14" s="74"/>
    </row>
    <row r="15" spans="1:6" ht="34.5">
      <c r="A15" s="252" t="s">
        <v>21</v>
      </c>
      <c r="B15" s="688">
        <v>10016551.96</v>
      </c>
      <c r="C15" s="688">
        <f>12175500-578161</f>
        <v>11597339</v>
      </c>
      <c r="D15" s="271">
        <f>10125300+44162+10000</f>
        <v>10179462</v>
      </c>
      <c r="E15" s="689">
        <f>D15-C15</f>
        <v>-1417877</v>
      </c>
      <c r="F15" s="86"/>
    </row>
    <row r="16" spans="1:6" ht="34.5">
      <c r="A16" s="252" t="s">
        <v>22</v>
      </c>
      <c r="B16" s="690">
        <v>103664</v>
      </c>
      <c r="C16" s="690">
        <v>110500</v>
      </c>
      <c r="D16" s="272">
        <v>104450</v>
      </c>
      <c r="E16" s="685">
        <f>D16-C16</f>
        <v>-6050</v>
      </c>
      <c r="F16" s="86"/>
    </row>
    <row r="17" spans="1:6" ht="34.5">
      <c r="A17" s="258" t="s">
        <v>23</v>
      </c>
      <c r="B17" s="690">
        <v>1942235.82</v>
      </c>
      <c r="C17" s="690">
        <v>2260076</v>
      </c>
      <c r="D17" s="272">
        <v>1945300</v>
      </c>
      <c r="E17" s="685">
        <f>D17-C17</f>
        <v>-314776</v>
      </c>
      <c r="F17" s="86"/>
    </row>
    <row r="18" spans="1:6" ht="34.5">
      <c r="A18" s="258" t="s">
        <v>24</v>
      </c>
      <c r="B18" s="690">
        <v>498098</v>
      </c>
      <c r="C18" s="690">
        <v>511242</v>
      </c>
      <c r="D18" s="272">
        <v>499288</v>
      </c>
      <c r="E18" s="685">
        <f>D18-C18</f>
        <v>-11954</v>
      </c>
      <c r="F18" s="86"/>
    </row>
    <row r="19" spans="1:6" ht="34.5">
      <c r="A19" s="252" t="s">
        <v>25</v>
      </c>
      <c r="B19" s="690"/>
      <c r="C19" s="690"/>
      <c r="D19" s="272"/>
      <c r="E19" s="272"/>
      <c r="F19" s="86"/>
    </row>
    <row r="20" spans="1:6" ht="35.25">
      <c r="A20" s="251" t="s">
        <v>26</v>
      </c>
      <c r="B20" s="694">
        <f>SUM(B14:B19)</f>
        <v>12560549.780000001</v>
      </c>
      <c r="C20" s="694">
        <f>SUM(C14:C19)</f>
        <v>14479157</v>
      </c>
      <c r="D20" s="694">
        <f>SUM(D14:D19)</f>
        <v>12728500</v>
      </c>
      <c r="E20" s="694">
        <f>SUM(E14:E19)</f>
        <v>-1750657</v>
      </c>
      <c r="F20" s="86"/>
    </row>
    <row r="21" spans="1:6" ht="34.5">
      <c r="A21" s="259" t="s">
        <v>27</v>
      </c>
      <c r="B21" s="682"/>
      <c r="C21" s="682"/>
      <c r="D21" s="682"/>
      <c r="E21" s="683">
        <f>D21-B21</f>
        <v>0</v>
      </c>
      <c r="F21" s="86"/>
    </row>
    <row r="22" spans="1:6" ht="34.5">
      <c r="A22" s="258" t="s">
        <v>28</v>
      </c>
      <c r="B22" s="691">
        <v>509110.7</v>
      </c>
      <c r="C22" s="690">
        <v>525275</v>
      </c>
      <c r="D22" s="691">
        <v>510725</v>
      </c>
      <c r="E22" s="685">
        <f>D22-C22</f>
        <v>-14550</v>
      </c>
      <c r="F22" s="86"/>
    </row>
    <row r="23" spans="1:6" ht="34.5">
      <c r="A23" s="260" t="s">
        <v>29</v>
      </c>
      <c r="B23" s="684"/>
      <c r="C23" s="684"/>
      <c r="D23" s="684"/>
      <c r="E23" s="685">
        <f>D23-B23</f>
        <v>0</v>
      </c>
      <c r="F23" s="86"/>
    </row>
    <row r="24" spans="1:6" ht="34.5">
      <c r="A24" s="254" t="s">
        <v>30</v>
      </c>
      <c r="B24" s="684"/>
      <c r="C24" s="684"/>
      <c r="D24" s="684"/>
      <c r="E24" s="685">
        <f>D24-B24</f>
        <v>0</v>
      </c>
      <c r="F24" s="86"/>
    </row>
    <row r="25" spans="1:6" ht="34.5">
      <c r="A25" s="258" t="s">
        <v>31</v>
      </c>
      <c r="B25" s="684"/>
      <c r="C25" s="684"/>
      <c r="D25" s="684"/>
      <c r="E25" s="685">
        <f>D25-B25</f>
        <v>0</v>
      </c>
      <c r="F25" s="86"/>
    </row>
    <row r="26" spans="1:6" ht="34.5">
      <c r="A26" s="260" t="s">
        <v>32</v>
      </c>
      <c r="B26" s="684">
        <v>394773.57</v>
      </c>
      <c r="C26" s="684">
        <v>410650</v>
      </c>
      <c r="D26" s="684">
        <f>396775-10000</f>
        <v>386775</v>
      </c>
      <c r="E26" s="685">
        <f>D26-C26</f>
        <v>-23875</v>
      </c>
      <c r="F26" s="86"/>
    </row>
    <row r="27" spans="1:6" ht="35.25">
      <c r="A27" s="261" t="s">
        <v>33</v>
      </c>
      <c r="B27" s="692">
        <f>B26+B25+B24+B23+B22+B21+'[1]BOR-2'!B21</f>
        <v>13464434.05</v>
      </c>
      <c r="C27" s="692">
        <f>C26+C25+C24+C23+C22+C21+'[1]BOR-2'!C21</f>
        <v>15415082</v>
      </c>
      <c r="D27" s="692">
        <f>D26+D25+D24+D23+D22+D21+'[1]BOR-2'!D21</f>
        <v>13626000</v>
      </c>
      <c r="E27" s="693">
        <f>D27-C27</f>
        <v>-1789082</v>
      </c>
      <c r="F27" s="86"/>
    </row>
    <row r="28" spans="1:6" ht="35.25">
      <c r="A28" s="257" t="s">
        <v>34</v>
      </c>
      <c r="B28" s="268"/>
      <c r="C28" s="268"/>
      <c r="D28" s="268"/>
      <c r="E28" s="269"/>
      <c r="F28" s="86"/>
    </row>
    <row r="29" spans="1:6" ht="34.5">
      <c r="A29" s="262" t="s">
        <v>35</v>
      </c>
      <c r="B29" s="268"/>
      <c r="C29" s="268"/>
      <c r="D29" s="273"/>
      <c r="E29" s="269">
        <f>D29-B29</f>
        <v>0</v>
      </c>
      <c r="F29" s="86"/>
    </row>
    <row r="30" spans="1:6" ht="34.5">
      <c r="A30" s="253" t="s">
        <v>36</v>
      </c>
      <c r="B30" s="274"/>
      <c r="C30" s="274"/>
      <c r="D30" s="274"/>
      <c r="E30" s="275">
        <f>D30-B30</f>
        <v>0</v>
      </c>
      <c r="F30" s="86"/>
    </row>
    <row r="31" spans="1:6" ht="35.25">
      <c r="A31" s="263" t="s">
        <v>37</v>
      </c>
      <c r="B31" s="268"/>
      <c r="C31" s="273"/>
      <c r="D31" s="273"/>
      <c r="E31" s="268"/>
      <c r="F31" s="74"/>
    </row>
    <row r="32" spans="1:6" ht="34.5">
      <c r="A32" s="258" t="s">
        <v>38</v>
      </c>
      <c r="B32" s="682">
        <v>17246829.9</v>
      </c>
      <c r="C32" s="276">
        <v>17246830</v>
      </c>
      <c r="D32" s="277"/>
      <c r="E32" s="683">
        <f>D32-C32</f>
        <v>-17246830</v>
      </c>
      <c r="F32" s="74"/>
    </row>
    <row r="33" spans="1:6" ht="34.5">
      <c r="A33" s="264" t="s">
        <v>160</v>
      </c>
      <c r="B33" s="684">
        <v>4585537</v>
      </c>
      <c r="C33" s="684">
        <f>21723693-17246830</f>
        <v>4476863</v>
      </c>
      <c r="D33" s="695"/>
      <c r="E33" s="685">
        <f>D33-C33</f>
        <v>-4476863</v>
      </c>
      <c r="F33" s="74"/>
    </row>
    <row r="34" spans="1:6" ht="35.25">
      <c r="A34" s="251" t="s">
        <v>40</v>
      </c>
      <c r="B34" s="686">
        <f>B33+B32+B30+B29</f>
        <v>21832366.9</v>
      </c>
      <c r="C34" s="686">
        <f>C33+C32+C30+C29</f>
        <v>21723693</v>
      </c>
      <c r="D34" s="696">
        <f>D33+D32+D30+D29</f>
        <v>0</v>
      </c>
      <c r="E34" s="687">
        <f>D34-C34</f>
        <v>-21723693</v>
      </c>
      <c r="F34" s="74"/>
    </row>
    <row r="35" spans="1:6" ht="36" thickBot="1">
      <c r="A35" s="265" t="s">
        <v>41</v>
      </c>
      <c r="B35" s="697">
        <f>B34+B27+B12</f>
        <v>35296800.95</v>
      </c>
      <c r="C35" s="697">
        <f>C34+LTC!C26+C11</f>
        <v>33079227</v>
      </c>
      <c r="D35" s="697">
        <f>D34+D27+D12</f>
        <v>13626000</v>
      </c>
      <c r="E35" s="698">
        <f>D35-C35</f>
        <v>-19453227</v>
      </c>
      <c r="F35" s="74"/>
    </row>
    <row r="36" spans="1:6" s="52" customFormat="1" ht="45" thickTop="1">
      <c r="A36" s="97"/>
      <c r="B36" s="98"/>
      <c r="C36" s="98"/>
      <c r="D36" s="98"/>
      <c r="E36" s="110"/>
      <c r="F36" s="51"/>
    </row>
    <row r="37" spans="1:6" ht="45">
      <c r="A37" s="49" t="s">
        <v>42</v>
      </c>
      <c r="B37" s="50"/>
      <c r="C37" s="50"/>
      <c r="D37" s="50"/>
      <c r="E37" s="50"/>
      <c r="F37" s="99"/>
    </row>
    <row r="38" spans="1:6" ht="44.25">
      <c r="A38" s="51"/>
      <c r="B38" s="52"/>
      <c r="C38" s="52"/>
      <c r="D38" s="52"/>
      <c r="E38" s="52"/>
      <c r="F38" s="100"/>
    </row>
    <row r="39" spans="1:6" ht="44.25">
      <c r="A39" s="53" t="s">
        <v>43</v>
      </c>
      <c r="B39" s="52"/>
      <c r="C39" s="52"/>
      <c r="D39" s="52"/>
      <c r="E39" s="52"/>
      <c r="F39" s="100"/>
    </row>
    <row r="40" spans="1:5" ht="20.25">
      <c r="A40" s="101"/>
      <c r="B40" s="100"/>
      <c r="C40" s="100"/>
      <c r="D40" s="100"/>
      <c r="E40" s="100"/>
    </row>
    <row r="41" spans="1:5" ht="20.25">
      <c r="A41" s="101" t="s">
        <v>0</v>
      </c>
      <c r="B41" s="99"/>
      <c r="C41" s="99"/>
      <c r="D41" s="99"/>
      <c r="E41" s="99"/>
    </row>
    <row r="42" spans="1:5" ht="20.25">
      <c r="A42" s="101"/>
      <c r="B42" s="100"/>
      <c r="C42" s="100"/>
      <c r="D42" s="100"/>
      <c r="E42" s="100"/>
    </row>
    <row r="44" spans="1:5" ht="25.5">
      <c r="A44" s="121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  <row r="65" spans="1:5" ht="25.5">
      <c r="A65" s="122"/>
      <c r="B65" s="122"/>
      <c r="C65" s="122"/>
      <c r="D65" s="122"/>
      <c r="E65" s="122"/>
    </row>
    <row r="66" spans="1:5" ht="25.5">
      <c r="A66" s="122"/>
      <c r="B66" s="122"/>
      <c r="C66" s="122"/>
      <c r="D66" s="122"/>
      <c r="E66" s="122"/>
    </row>
    <row r="67" spans="1:5" ht="25.5">
      <c r="A67" s="122"/>
      <c r="B67" s="122"/>
      <c r="C67" s="122"/>
      <c r="D67" s="122"/>
      <c r="E67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30" zoomScaleNormal="30" zoomScalePageLayoutView="0" workbookViewId="0" topLeftCell="A2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53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278" t="s">
        <v>12</v>
      </c>
      <c r="B6" s="283"/>
      <c r="C6" s="284"/>
      <c r="D6" s="284"/>
      <c r="E6" s="285"/>
      <c r="F6" s="74"/>
    </row>
    <row r="7" spans="1:6" ht="35.25">
      <c r="A7" s="279" t="s">
        <v>13</v>
      </c>
      <c r="B7" s="286">
        <v>0</v>
      </c>
      <c r="C7" s="286">
        <v>0</v>
      </c>
      <c r="D7" s="286">
        <v>0</v>
      </c>
      <c r="E7" s="286">
        <f>D7-C7</f>
        <v>0</v>
      </c>
      <c r="F7" s="74"/>
    </row>
    <row r="8" spans="1:6" ht="35.25">
      <c r="A8" s="279" t="s">
        <v>14</v>
      </c>
      <c r="B8" s="287">
        <v>0</v>
      </c>
      <c r="C8" s="287">
        <v>0</v>
      </c>
      <c r="D8" s="287">
        <v>0</v>
      </c>
      <c r="E8" s="286">
        <f>D8-C8</f>
        <v>0</v>
      </c>
      <c r="F8" s="74"/>
    </row>
    <row r="9" spans="1:6" ht="35.25">
      <c r="A9" s="279" t="s">
        <v>15</v>
      </c>
      <c r="B9" s="287">
        <v>0</v>
      </c>
      <c r="C9" s="287">
        <v>0</v>
      </c>
      <c r="D9" s="287">
        <v>0</v>
      </c>
      <c r="E9" s="286">
        <f>D9-C9</f>
        <v>0</v>
      </c>
      <c r="F9" s="74"/>
    </row>
    <row r="10" spans="1:6" ht="35.25">
      <c r="A10" s="279" t="s">
        <v>16</v>
      </c>
      <c r="B10" s="287">
        <v>0</v>
      </c>
      <c r="C10" s="287">
        <v>0</v>
      </c>
      <c r="D10" s="287">
        <v>0</v>
      </c>
      <c r="E10" s="286">
        <f>D10-C10</f>
        <v>0</v>
      </c>
      <c r="F10" s="74"/>
    </row>
    <row r="11" spans="1:6" ht="35.25">
      <c r="A11" s="279" t="s">
        <v>17</v>
      </c>
      <c r="B11" s="287">
        <v>0</v>
      </c>
      <c r="C11" s="287">
        <v>0</v>
      </c>
      <c r="D11" s="287">
        <v>0</v>
      </c>
      <c r="E11" s="286">
        <f>D11-C11</f>
        <v>0</v>
      </c>
      <c r="F11" s="74"/>
    </row>
    <row r="12" spans="1:6" ht="34.5">
      <c r="A12" s="280" t="s">
        <v>18</v>
      </c>
      <c r="B12" s="288">
        <f>SUM(B7:B11)</f>
        <v>0</v>
      </c>
      <c r="C12" s="288">
        <f>SUM(C7:C11)</f>
        <v>0</v>
      </c>
      <c r="D12" s="288">
        <f>SUM(D7:D11)</f>
        <v>0</v>
      </c>
      <c r="E12" s="288">
        <f>SUM(E7:E11)</f>
        <v>0</v>
      </c>
      <c r="F12" s="74"/>
    </row>
    <row r="13" spans="1:6" ht="35.25">
      <c r="A13" s="278" t="s">
        <v>19</v>
      </c>
      <c r="B13" s="289"/>
      <c r="C13" s="290"/>
      <c r="D13" s="290"/>
      <c r="E13" s="291"/>
      <c r="F13" s="74"/>
    </row>
    <row r="14" spans="1:6" ht="35.25">
      <c r="A14" s="278" t="s">
        <v>20</v>
      </c>
      <c r="B14" s="283"/>
      <c r="C14" s="284"/>
      <c r="D14" s="284"/>
      <c r="E14" s="285"/>
      <c r="F14" s="74"/>
    </row>
    <row r="15" spans="1:6" ht="35.25">
      <c r="A15" s="279" t="s">
        <v>21</v>
      </c>
      <c r="B15" s="292">
        <v>7814430</v>
      </c>
      <c r="C15" s="292">
        <v>8713816</v>
      </c>
      <c r="D15" s="292">
        <v>9416967</v>
      </c>
      <c r="E15" s="286">
        <f>D15-C15</f>
        <v>703151</v>
      </c>
      <c r="F15" s="86"/>
    </row>
    <row r="16" spans="1:6" ht="35.25">
      <c r="A16" s="279" t="s">
        <v>161</v>
      </c>
      <c r="B16" s="293">
        <v>299522</v>
      </c>
      <c r="C16" s="293">
        <v>380000</v>
      </c>
      <c r="D16" s="293">
        <v>437000</v>
      </c>
      <c r="E16" s="286">
        <f>D16-C16</f>
        <v>57000</v>
      </c>
      <c r="F16" s="86"/>
    </row>
    <row r="17" spans="1:6" ht="35.25">
      <c r="A17" s="281" t="s">
        <v>23</v>
      </c>
      <c r="B17" s="293">
        <v>0</v>
      </c>
      <c r="C17" s="293">
        <v>0</v>
      </c>
      <c r="D17" s="293">
        <v>0</v>
      </c>
      <c r="E17" s="286">
        <f>D17-C17</f>
        <v>0</v>
      </c>
      <c r="F17" s="86"/>
    </row>
    <row r="18" spans="1:6" ht="35.25">
      <c r="A18" s="279" t="s">
        <v>24</v>
      </c>
      <c r="B18" s="292">
        <v>358671</v>
      </c>
      <c r="C18" s="292">
        <v>360000</v>
      </c>
      <c r="D18" s="292">
        <v>414000</v>
      </c>
      <c r="E18" s="286">
        <f>D18-C18</f>
        <v>54000</v>
      </c>
      <c r="F18" s="86"/>
    </row>
    <row r="19" spans="1:6" ht="35.25">
      <c r="A19" s="279" t="s">
        <v>162</v>
      </c>
      <c r="B19" s="287">
        <v>148326</v>
      </c>
      <c r="C19" s="287">
        <v>199700</v>
      </c>
      <c r="D19" s="287">
        <v>229655</v>
      </c>
      <c r="E19" s="286">
        <f>D19-C19</f>
        <v>29955</v>
      </c>
      <c r="F19" s="86"/>
    </row>
    <row r="20" spans="1:6" ht="34.5">
      <c r="A20" s="280" t="s">
        <v>26</v>
      </c>
      <c r="B20" s="294">
        <f>SUM(B15:B19)</f>
        <v>8620949</v>
      </c>
      <c r="C20" s="294">
        <f>SUM(C15:C19)</f>
        <v>9653516</v>
      </c>
      <c r="D20" s="294">
        <f>SUM(D15:D19)</f>
        <v>10497622</v>
      </c>
      <c r="E20" s="294">
        <f>SUM(E15:E19)</f>
        <v>844106</v>
      </c>
      <c r="F20" s="86"/>
    </row>
    <row r="21" spans="1:6" ht="35.25">
      <c r="A21" s="279" t="s">
        <v>163</v>
      </c>
      <c r="B21" s="287">
        <v>0</v>
      </c>
      <c r="C21" s="287">
        <v>0</v>
      </c>
      <c r="D21" s="287">
        <v>0</v>
      </c>
      <c r="E21" s="286">
        <f aca="true" t="shared" si="0" ref="E21:E26">D21-C21</f>
        <v>0</v>
      </c>
      <c r="F21" s="86"/>
    </row>
    <row r="22" spans="1:6" ht="35.25">
      <c r="A22" s="279" t="s">
        <v>28</v>
      </c>
      <c r="B22" s="287">
        <v>0</v>
      </c>
      <c r="C22" s="287">
        <v>0</v>
      </c>
      <c r="D22" s="287">
        <v>0</v>
      </c>
      <c r="E22" s="286">
        <f t="shared" si="0"/>
        <v>0</v>
      </c>
      <c r="F22" s="86"/>
    </row>
    <row r="23" spans="1:6" ht="35.25">
      <c r="A23" s="279" t="s">
        <v>29</v>
      </c>
      <c r="B23" s="287">
        <v>0</v>
      </c>
      <c r="C23" s="287">
        <v>0</v>
      </c>
      <c r="D23" s="287">
        <v>0</v>
      </c>
      <c r="E23" s="286">
        <f t="shared" si="0"/>
        <v>0</v>
      </c>
      <c r="F23" s="86"/>
    </row>
    <row r="24" spans="1:6" ht="35.25">
      <c r="A24" s="279" t="s">
        <v>30</v>
      </c>
      <c r="B24" s="287">
        <v>0</v>
      </c>
      <c r="C24" s="287">
        <v>0</v>
      </c>
      <c r="D24" s="287">
        <v>0</v>
      </c>
      <c r="E24" s="286">
        <f t="shared" si="0"/>
        <v>0</v>
      </c>
      <c r="F24" s="86"/>
    </row>
    <row r="25" spans="1:6" ht="35.25">
      <c r="A25" s="279" t="s">
        <v>164</v>
      </c>
      <c r="B25" s="287">
        <v>0</v>
      </c>
      <c r="C25" s="287">
        <v>0</v>
      </c>
      <c r="D25" s="287">
        <v>0</v>
      </c>
      <c r="E25" s="286">
        <f t="shared" si="0"/>
        <v>0</v>
      </c>
      <c r="F25" s="86"/>
    </row>
    <row r="26" spans="1:6" ht="35.25">
      <c r="A26" s="279" t="s">
        <v>32</v>
      </c>
      <c r="B26" s="287">
        <v>112055</v>
      </c>
      <c r="C26" s="287">
        <v>122000</v>
      </c>
      <c r="D26" s="287">
        <v>140300</v>
      </c>
      <c r="E26" s="286">
        <f t="shared" si="0"/>
        <v>18300</v>
      </c>
      <c r="F26" s="86"/>
    </row>
    <row r="27" spans="1:6" ht="34.5">
      <c r="A27" s="280" t="s">
        <v>33</v>
      </c>
      <c r="B27" s="295">
        <f>+B26+B25+B23+B21+B20</f>
        <v>8733004</v>
      </c>
      <c r="C27" s="295">
        <f>+C26+C25+C23+C21+C20</f>
        <v>9775516</v>
      </c>
      <c r="D27" s="295">
        <f>+D26+D25+D23+D21+D20</f>
        <v>10637922</v>
      </c>
      <c r="E27" s="295">
        <f>+E26+E25+E23+E21+E20</f>
        <v>862406</v>
      </c>
      <c r="F27" s="86"/>
    </row>
    <row r="28" spans="1:6" ht="35.25">
      <c r="A28" s="278" t="s">
        <v>34</v>
      </c>
      <c r="B28" s="283"/>
      <c r="C28" s="284"/>
      <c r="D28" s="284"/>
      <c r="E28" s="285"/>
      <c r="F28" s="86"/>
    </row>
    <row r="29" spans="1:6" ht="35.25">
      <c r="A29" s="279" t="s">
        <v>35</v>
      </c>
      <c r="B29" s="286">
        <v>0</v>
      </c>
      <c r="C29" s="286">
        <v>0</v>
      </c>
      <c r="D29" s="286">
        <f>(B29*1.02009238057106)</f>
        <v>0</v>
      </c>
      <c r="E29" s="286">
        <f>D29-C29</f>
        <v>0</v>
      </c>
      <c r="F29" s="86"/>
    </row>
    <row r="30" spans="1:6" ht="35.25">
      <c r="A30" s="279" t="s">
        <v>36</v>
      </c>
      <c r="B30" s="296">
        <v>0</v>
      </c>
      <c r="C30" s="296">
        <v>0</v>
      </c>
      <c r="D30" s="296">
        <v>0</v>
      </c>
      <c r="E30" s="286">
        <f>D30-C30</f>
        <v>0</v>
      </c>
      <c r="F30" s="86"/>
    </row>
    <row r="31" spans="1:6" ht="35.25">
      <c r="A31" s="278" t="s">
        <v>37</v>
      </c>
      <c r="B31" s="283"/>
      <c r="C31" s="284"/>
      <c r="D31" s="284"/>
      <c r="E31" s="285"/>
      <c r="F31" s="86"/>
    </row>
    <row r="32" spans="1:6" ht="35.25">
      <c r="A32" s="279" t="s">
        <v>165</v>
      </c>
      <c r="B32" s="286">
        <v>0</v>
      </c>
      <c r="C32" s="286">
        <v>0</v>
      </c>
      <c r="D32" s="286">
        <v>0</v>
      </c>
      <c r="E32" s="286">
        <f>D32-C32</f>
        <v>0</v>
      </c>
      <c r="F32" s="74"/>
    </row>
    <row r="33" spans="1:6" ht="35.25">
      <c r="A33" s="279" t="s">
        <v>166</v>
      </c>
      <c r="B33" s="287">
        <v>0</v>
      </c>
      <c r="C33" s="287">
        <v>0</v>
      </c>
      <c r="D33" s="287">
        <v>0</v>
      </c>
      <c r="E33" s="286">
        <f>D33-C33</f>
        <v>0</v>
      </c>
      <c r="F33" s="74"/>
    </row>
    <row r="34" spans="1:6" ht="35.25">
      <c r="A34" s="282" t="s">
        <v>40</v>
      </c>
      <c r="B34" s="287">
        <f>SUM(B29:B33)</f>
        <v>0</v>
      </c>
      <c r="C34" s="287">
        <f>SUM(C29:C33)</f>
        <v>0</v>
      </c>
      <c r="D34" s="287">
        <f>SUM(D29:D33)</f>
        <v>0</v>
      </c>
      <c r="E34" s="286">
        <f>D34-C34</f>
        <v>0</v>
      </c>
      <c r="F34" s="74"/>
    </row>
    <row r="35" spans="1:6" ht="34.5">
      <c r="A35" s="280" t="s">
        <v>41</v>
      </c>
      <c r="B35" s="297">
        <f>B34+B27+B12</f>
        <v>8733004</v>
      </c>
      <c r="C35" s="297">
        <f>C34+C27+C12</f>
        <v>9775516</v>
      </c>
      <c r="D35" s="297">
        <f>D34+D27+D12</f>
        <v>10637922</v>
      </c>
      <c r="E35" s="297">
        <f>E34+E27+E12</f>
        <v>862406</v>
      </c>
      <c r="F35" s="74"/>
    </row>
    <row r="36" spans="1:6" s="52" customFormat="1" ht="44.25">
      <c r="A36" s="97"/>
      <c r="B36" s="98"/>
      <c r="C36" s="98"/>
      <c r="D36" s="98"/>
      <c r="E36" s="110"/>
      <c r="F36" s="51"/>
    </row>
    <row r="37" spans="1:6" ht="45">
      <c r="A37" s="49" t="s">
        <v>42</v>
      </c>
      <c r="B37" s="50"/>
      <c r="C37" s="50"/>
      <c r="D37" s="50"/>
      <c r="E37" s="50"/>
      <c r="F37" s="99"/>
    </row>
    <row r="38" spans="1:6" ht="44.25">
      <c r="A38" s="51"/>
      <c r="B38" s="52"/>
      <c r="C38" s="52"/>
      <c r="D38" s="52"/>
      <c r="E38" s="52"/>
      <c r="F38" s="100"/>
    </row>
    <row r="39" spans="1:6" ht="44.25">
      <c r="A39" s="53" t="s">
        <v>43</v>
      </c>
      <c r="B39" s="52"/>
      <c r="C39" s="52"/>
      <c r="D39" s="52"/>
      <c r="E39" s="52"/>
      <c r="F39" s="100"/>
    </row>
    <row r="40" spans="1:5" ht="20.25">
      <c r="A40" s="101"/>
      <c r="B40" s="100"/>
      <c r="C40" s="100"/>
      <c r="D40" s="100"/>
      <c r="E40" s="100"/>
    </row>
    <row r="41" spans="1:5" ht="20.25">
      <c r="A41" s="101" t="s">
        <v>0</v>
      </c>
      <c r="B41" s="99"/>
      <c r="C41" s="99"/>
      <c r="D41" s="99"/>
      <c r="E41" s="99"/>
    </row>
    <row r="42" spans="1:5" ht="20.25">
      <c r="A42" s="101"/>
      <c r="B42" s="100"/>
      <c r="C42" s="100"/>
      <c r="D42" s="100"/>
      <c r="E42" s="100"/>
    </row>
    <row r="44" spans="1:5" ht="25.5">
      <c r="A44" s="121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  <row r="65" spans="1:5" ht="25.5">
      <c r="A65" s="122"/>
      <c r="B65" s="122"/>
      <c r="C65" s="122"/>
      <c r="D65" s="122"/>
      <c r="E65" s="122"/>
    </row>
    <row r="66" spans="1:5" ht="25.5">
      <c r="A66" s="122"/>
      <c r="B66" s="122"/>
      <c r="C66" s="122"/>
      <c r="D66" s="122"/>
      <c r="E66" s="122"/>
    </row>
    <row r="67" spans="1:5" ht="25.5">
      <c r="A67" s="122"/>
      <c r="B67" s="122"/>
      <c r="C67" s="122"/>
      <c r="D67" s="122"/>
      <c r="E67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54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298" t="s">
        <v>12</v>
      </c>
      <c r="B6" s="305"/>
      <c r="C6" s="305"/>
      <c r="D6" s="305"/>
      <c r="E6" s="306"/>
      <c r="F6" s="74"/>
    </row>
    <row r="7" spans="1:6" ht="34.5">
      <c r="A7" s="299" t="s">
        <v>13</v>
      </c>
      <c r="B7" s="661"/>
      <c r="C7" s="661"/>
      <c r="D7" s="661"/>
      <c r="E7" s="662">
        <v>0</v>
      </c>
      <c r="F7" s="74"/>
    </row>
    <row r="8" spans="1:6" ht="34.5">
      <c r="A8" s="300" t="s">
        <v>14</v>
      </c>
      <c r="B8" s="663"/>
      <c r="C8" s="663"/>
      <c r="D8" s="663"/>
      <c r="E8" s="664">
        <v>0</v>
      </c>
      <c r="F8" s="74"/>
    </row>
    <row r="9" spans="1:6" ht="34.5">
      <c r="A9" s="300" t="s">
        <v>15</v>
      </c>
      <c r="B9" s="663"/>
      <c r="C9" s="663"/>
      <c r="D9" s="663"/>
      <c r="E9" s="664">
        <v>0</v>
      </c>
      <c r="F9" s="74"/>
    </row>
    <row r="10" spans="1:6" ht="34.5">
      <c r="A10" s="300" t="s">
        <v>16</v>
      </c>
      <c r="B10" s="663"/>
      <c r="C10" s="663"/>
      <c r="D10" s="663"/>
      <c r="E10" s="664">
        <v>0</v>
      </c>
      <c r="F10" s="74"/>
    </row>
    <row r="11" spans="1:6" ht="34.5">
      <c r="A11" s="300" t="s">
        <v>17</v>
      </c>
      <c r="B11" s="663"/>
      <c r="C11" s="663"/>
      <c r="D11" s="663"/>
      <c r="E11" s="664">
        <v>0</v>
      </c>
      <c r="F11" s="74"/>
    </row>
    <row r="12" spans="1:6" s="179" customFormat="1" ht="35.25">
      <c r="A12" s="301" t="s">
        <v>18</v>
      </c>
      <c r="B12" s="663">
        <v>0</v>
      </c>
      <c r="C12" s="663">
        <v>0</v>
      </c>
      <c r="D12" s="663">
        <v>0</v>
      </c>
      <c r="E12" s="664">
        <v>0</v>
      </c>
      <c r="F12" s="107"/>
    </row>
    <row r="13" spans="1:6" ht="35.25">
      <c r="A13" s="298" t="s">
        <v>19</v>
      </c>
      <c r="B13" s="665"/>
      <c r="C13" s="665"/>
      <c r="D13" s="665"/>
      <c r="E13" s="666"/>
      <c r="F13" s="74"/>
    </row>
    <row r="14" spans="1:6" ht="35.25">
      <c r="A14" s="302" t="s">
        <v>20</v>
      </c>
      <c r="B14" s="667"/>
      <c r="C14" s="667"/>
      <c r="D14" s="667"/>
      <c r="E14" s="667"/>
      <c r="F14" s="74"/>
    </row>
    <row r="15" spans="1:6" ht="34.5">
      <c r="A15" s="303" t="s">
        <v>21</v>
      </c>
      <c r="B15" s="668">
        <v>5595638.18</v>
      </c>
      <c r="C15" s="668">
        <v>6081935</v>
      </c>
      <c r="D15" s="668">
        <v>6364542</v>
      </c>
      <c r="E15" s="669">
        <v>282607</v>
      </c>
      <c r="F15" s="86"/>
    </row>
    <row r="16" spans="1:6" ht="34.5">
      <c r="A16" s="303" t="s">
        <v>22</v>
      </c>
      <c r="B16" s="667">
        <v>199701.86</v>
      </c>
      <c r="C16" s="667">
        <v>170000</v>
      </c>
      <c r="D16" s="667">
        <v>199700</v>
      </c>
      <c r="E16" s="669">
        <v>29700</v>
      </c>
      <c r="F16" s="86"/>
    </row>
    <row r="17" spans="1:6" ht="34.5">
      <c r="A17" s="303" t="s">
        <v>23</v>
      </c>
      <c r="B17" s="667">
        <v>685991.52</v>
      </c>
      <c r="C17" s="667">
        <v>675000</v>
      </c>
      <c r="D17" s="667">
        <v>686000</v>
      </c>
      <c r="E17" s="669">
        <v>11000</v>
      </c>
      <c r="F17" s="86"/>
    </row>
    <row r="18" spans="1:6" ht="34.5">
      <c r="A18" s="303" t="s">
        <v>24</v>
      </c>
      <c r="B18" s="667">
        <v>207618.29</v>
      </c>
      <c r="C18" s="667">
        <v>203000</v>
      </c>
      <c r="D18" s="667">
        <v>208000</v>
      </c>
      <c r="E18" s="669">
        <v>5000</v>
      </c>
      <c r="F18" s="86"/>
    </row>
    <row r="19" spans="1:6" ht="34.5">
      <c r="A19" s="303" t="s">
        <v>25</v>
      </c>
      <c r="B19" s="667">
        <v>329077.8</v>
      </c>
      <c r="C19" s="667">
        <v>429500</v>
      </c>
      <c r="D19" s="667">
        <v>330250</v>
      </c>
      <c r="E19" s="669">
        <v>-99250</v>
      </c>
      <c r="F19" s="86"/>
    </row>
    <row r="20" spans="1:6" s="179" customFormat="1" ht="35.25">
      <c r="A20" s="304" t="s">
        <v>167</v>
      </c>
      <c r="B20" s="670">
        <f>SUM(B15:B19)</f>
        <v>7018027.65</v>
      </c>
      <c r="C20" s="670">
        <f>SUM(C15:C19)</f>
        <v>7559435</v>
      </c>
      <c r="D20" s="670">
        <f>SUM(D15:D19)</f>
        <v>7788492</v>
      </c>
      <c r="E20" s="671">
        <f>D20-C20</f>
        <v>229057</v>
      </c>
      <c r="F20" s="97"/>
    </row>
    <row r="21" spans="1:6" ht="34.5">
      <c r="A21" s="300" t="s">
        <v>27</v>
      </c>
      <c r="B21" s="663"/>
      <c r="C21" s="663"/>
      <c r="D21" s="663"/>
      <c r="E21" s="672">
        <v>0</v>
      </c>
      <c r="F21" s="86"/>
    </row>
    <row r="22" spans="1:6" ht="34.5">
      <c r="A22" s="300" t="s">
        <v>28</v>
      </c>
      <c r="B22" s="663">
        <v>372185.51</v>
      </c>
      <c r="C22" s="663">
        <v>225000</v>
      </c>
      <c r="D22" s="663">
        <v>375000</v>
      </c>
      <c r="E22" s="672">
        <v>150000</v>
      </c>
      <c r="F22" s="86"/>
    </row>
    <row r="23" spans="1:6" ht="34.5">
      <c r="A23" s="300" t="s">
        <v>29</v>
      </c>
      <c r="B23" s="663"/>
      <c r="C23" s="663"/>
      <c r="D23" s="663"/>
      <c r="E23" s="672">
        <v>0</v>
      </c>
      <c r="F23" s="86"/>
    </row>
    <row r="24" spans="1:6" ht="34.5">
      <c r="A24" s="300" t="s">
        <v>30</v>
      </c>
      <c r="B24" s="663"/>
      <c r="C24" s="663"/>
      <c r="D24" s="663"/>
      <c r="E24" s="672">
        <v>0</v>
      </c>
      <c r="F24" s="86"/>
    </row>
    <row r="25" spans="1:6" ht="34.5">
      <c r="A25" s="300" t="s">
        <v>31</v>
      </c>
      <c r="B25" s="663"/>
      <c r="C25" s="663"/>
      <c r="D25" s="663"/>
      <c r="E25" s="672">
        <v>0</v>
      </c>
      <c r="F25" s="86"/>
    </row>
    <row r="26" spans="1:6" ht="34.5">
      <c r="A26" s="300" t="s">
        <v>32</v>
      </c>
      <c r="B26" s="663"/>
      <c r="C26" s="663"/>
      <c r="D26" s="663"/>
      <c r="E26" s="672">
        <v>0</v>
      </c>
      <c r="F26" s="86"/>
    </row>
    <row r="27" spans="1:6" s="179" customFormat="1" ht="35.25">
      <c r="A27" s="301" t="s">
        <v>33</v>
      </c>
      <c r="B27" s="673">
        <f>SUM(B20:B26)</f>
        <v>7390213.16</v>
      </c>
      <c r="C27" s="673">
        <f>SUM(C20:C26)</f>
        <v>7784435</v>
      </c>
      <c r="D27" s="673">
        <f>SUM(D20:D26)</f>
        <v>8163492</v>
      </c>
      <c r="E27" s="671">
        <f aca="true" t="shared" si="0" ref="E27:E35">D27-C27</f>
        <v>379057</v>
      </c>
      <c r="F27" s="97"/>
    </row>
    <row r="28" spans="1:6" ht="35.25">
      <c r="A28" s="298" t="s">
        <v>34</v>
      </c>
      <c r="B28" s="674"/>
      <c r="C28" s="674"/>
      <c r="D28" s="674"/>
      <c r="E28" s="675"/>
      <c r="F28" s="86"/>
    </row>
    <row r="29" spans="1:6" ht="34.5">
      <c r="A29" s="299" t="s">
        <v>35</v>
      </c>
      <c r="B29" s="676"/>
      <c r="C29" s="676"/>
      <c r="D29" s="676"/>
      <c r="E29" s="677">
        <f t="shared" si="0"/>
        <v>0</v>
      </c>
      <c r="F29" s="74"/>
    </row>
    <row r="30" spans="1:6" ht="34.5">
      <c r="A30" s="300" t="s">
        <v>36</v>
      </c>
      <c r="B30" s="678"/>
      <c r="C30" s="678"/>
      <c r="D30" s="678"/>
      <c r="E30" s="675">
        <f t="shared" si="0"/>
        <v>0</v>
      </c>
      <c r="F30" s="74"/>
    </row>
    <row r="31" spans="1:6" ht="35.25">
      <c r="A31" s="298" t="s">
        <v>37</v>
      </c>
      <c r="B31" s="674"/>
      <c r="C31" s="674"/>
      <c r="D31" s="674"/>
      <c r="E31" s="679"/>
      <c r="F31" s="74"/>
    </row>
    <row r="32" spans="1:6" ht="34.5">
      <c r="A32" s="299" t="s">
        <v>165</v>
      </c>
      <c r="B32" s="677"/>
      <c r="C32" s="677"/>
      <c r="D32" s="677"/>
      <c r="E32" s="680">
        <f t="shared" si="0"/>
        <v>0</v>
      </c>
      <c r="F32" s="74"/>
    </row>
    <row r="33" spans="1:6" s="52" customFormat="1" ht="44.25">
      <c r="A33" s="300" t="s">
        <v>166</v>
      </c>
      <c r="B33" s="678"/>
      <c r="C33" s="678"/>
      <c r="D33" s="678"/>
      <c r="E33" s="675">
        <f t="shared" si="0"/>
        <v>0</v>
      </c>
      <c r="F33" s="51"/>
    </row>
    <row r="34" spans="1:6" s="179" customFormat="1" ht="35.25">
      <c r="A34" s="301" t="s">
        <v>40</v>
      </c>
      <c r="B34" s="673">
        <f>SUM(B29:B33)</f>
        <v>0</v>
      </c>
      <c r="C34" s="673">
        <f>SUM(C29:C33)</f>
        <v>0</v>
      </c>
      <c r="D34" s="673">
        <f>SUM(D29:D33)</f>
        <v>0</v>
      </c>
      <c r="E34" s="671">
        <f t="shared" si="0"/>
        <v>0</v>
      </c>
      <c r="F34" s="308"/>
    </row>
    <row r="35" spans="1:6" s="179" customFormat="1" ht="35.25">
      <c r="A35" s="301" t="s">
        <v>41</v>
      </c>
      <c r="B35" s="673">
        <f>B27</f>
        <v>7390213.16</v>
      </c>
      <c r="C35" s="673">
        <f>C27</f>
        <v>7784435</v>
      </c>
      <c r="D35" s="673">
        <f>D27</f>
        <v>8163492</v>
      </c>
      <c r="E35" s="681">
        <f t="shared" si="0"/>
        <v>379057</v>
      </c>
      <c r="F35" s="307"/>
    </row>
    <row r="36" spans="1:6" ht="44.25">
      <c r="A36" s="53" t="s">
        <v>43</v>
      </c>
      <c r="B36" s="52"/>
      <c r="C36" s="52"/>
      <c r="D36" s="52"/>
      <c r="E36" s="52"/>
      <c r="F36" s="100"/>
    </row>
    <row r="37" spans="1:5" ht="20.25">
      <c r="A37" s="101"/>
      <c r="B37" s="100"/>
      <c r="C37" s="100"/>
      <c r="D37" s="100"/>
      <c r="E37" s="100"/>
    </row>
    <row r="38" spans="1:5" ht="20.25">
      <c r="A38" s="101" t="s">
        <v>0</v>
      </c>
      <c r="B38" s="99"/>
      <c r="C38" s="99"/>
      <c r="D38" s="99"/>
      <c r="E38" s="99"/>
    </row>
    <row r="39" spans="1:5" ht="20.25">
      <c r="A39" s="101"/>
      <c r="B39" s="100"/>
      <c r="C39" s="100"/>
      <c r="D39" s="100"/>
      <c r="E39" s="100"/>
    </row>
    <row r="41" spans="1:5" ht="25.5">
      <c r="A41" s="121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55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127" t="s">
        <v>12</v>
      </c>
      <c r="B6" s="78"/>
      <c r="C6" s="78"/>
      <c r="D6" s="78"/>
      <c r="E6" s="79"/>
      <c r="F6" s="74"/>
    </row>
    <row r="7" spans="1:6" ht="34.5">
      <c r="A7" s="129" t="s">
        <v>13</v>
      </c>
      <c r="B7" s="80"/>
      <c r="C7" s="80"/>
      <c r="D7" s="80"/>
      <c r="E7" s="81">
        <f aca="true" t="shared" si="0" ref="E7:E12">D7-C7</f>
        <v>0</v>
      </c>
      <c r="F7" s="74"/>
    </row>
    <row r="8" spans="1:6" ht="34.5">
      <c r="A8" s="132" t="s">
        <v>14</v>
      </c>
      <c r="B8" s="82"/>
      <c r="C8" s="82"/>
      <c r="D8" s="82"/>
      <c r="E8" s="83">
        <f t="shared" si="0"/>
        <v>0</v>
      </c>
      <c r="F8" s="74"/>
    </row>
    <row r="9" spans="1:6" ht="34.5">
      <c r="A9" s="133" t="s">
        <v>15</v>
      </c>
      <c r="B9" s="82"/>
      <c r="C9" s="82"/>
      <c r="D9" s="82"/>
      <c r="E9" s="83">
        <f t="shared" si="0"/>
        <v>0</v>
      </c>
      <c r="F9" s="74"/>
    </row>
    <row r="10" spans="1:6" ht="34.5">
      <c r="A10" s="134" t="s">
        <v>16</v>
      </c>
      <c r="B10" s="82"/>
      <c r="C10" s="82"/>
      <c r="D10" s="82"/>
      <c r="E10" s="83">
        <f t="shared" si="0"/>
        <v>0</v>
      </c>
      <c r="F10" s="74"/>
    </row>
    <row r="11" spans="1:6" ht="34.5">
      <c r="A11" s="134" t="s">
        <v>17</v>
      </c>
      <c r="B11" s="82"/>
      <c r="C11" s="82"/>
      <c r="D11" s="82"/>
      <c r="E11" s="83">
        <f t="shared" si="0"/>
        <v>0</v>
      </c>
      <c r="F11" s="74"/>
    </row>
    <row r="12" spans="1:6" s="179" customFormat="1" ht="35.25">
      <c r="A12" s="135" t="s">
        <v>18</v>
      </c>
      <c r="B12" s="84">
        <f>B10+B9+B8+B7+B11</f>
        <v>0</v>
      </c>
      <c r="C12" s="84"/>
      <c r="D12" s="84">
        <f>D10+D9+D8+D7+D11</f>
        <v>0</v>
      </c>
      <c r="E12" s="83">
        <f t="shared" si="0"/>
        <v>0</v>
      </c>
      <c r="F12" s="107"/>
    </row>
    <row r="13" spans="1:6" ht="35.25">
      <c r="A13" s="127" t="s">
        <v>19</v>
      </c>
      <c r="B13" s="82"/>
      <c r="C13" s="82"/>
      <c r="D13" s="82"/>
      <c r="E13" s="85"/>
      <c r="F13" s="74"/>
    </row>
    <row r="14" spans="1:6" ht="35.25">
      <c r="A14" s="128" t="s">
        <v>20</v>
      </c>
      <c r="B14" s="80"/>
      <c r="C14" s="80"/>
      <c r="D14" s="80"/>
      <c r="E14" s="87"/>
      <c r="F14" s="74"/>
    </row>
    <row r="15" spans="1:6" ht="34.5">
      <c r="A15" s="129" t="s">
        <v>21</v>
      </c>
      <c r="B15" s="88">
        <v>1077195</v>
      </c>
      <c r="C15" s="88">
        <v>1250000</v>
      </c>
      <c r="D15" s="88">
        <v>1386784</v>
      </c>
      <c r="E15" s="88">
        <f>D15-B15</f>
        <v>309589</v>
      </c>
      <c r="F15" s="86"/>
    </row>
    <row r="16" spans="1:6" ht="34.5">
      <c r="A16" s="129" t="s">
        <v>22</v>
      </c>
      <c r="B16" s="88">
        <v>4854</v>
      </c>
      <c r="C16" s="88">
        <v>10200</v>
      </c>
      <c r="D16" s="88">
        <v>8800</v>
      </c>
      <c r="E16" s="88">
        <f>D16-B16</f>
        <v>3946</v>
      </c>
      <c r="F16" s="86"/>
    </row>
    <row r="17" spans="1:6" ht="34.5">
      <c r="A17" s="130" t="s">
        <v>23</v>
      </c>
      <c r="B17" s="88">
        <v>100180</v>
      </c>
      <c r="C17" s="88">
        <v>177800</v>
      </c>
      <c r="D17" s="88">
        <v>108000</v>
      </c>
      <c r="E17" s="88">
        <f>D17-B17</f>
        <v>7820</v>
      </c>
      <c r="F17" s="86"/>
    </row>
    <row r="18" spans="1:6" ht="34.5">
      <c r="A18" s="130" t="s">
        <v>24</v>
      </c>
      <c r="B18" s="88"/>
      <c r="C18" s="88"/>
      <c r="D18" s="88"/>
      <c r="E18" s="88">
        <f>D18-B18</f>
        <v>0</v>
      </c>
      <c r="F18" s="86"/>
    </row>
    <row r="19" spans="1:6" ht="34.5">
      <c r="A19" s="129" t="s">
        <v>168</v>
      </c>
      <c r="B19" s="88">
        <v>12656</v>
      </c>
      <c r="C19" s="88">
        <v>43365</v>
      </c>
      <c r="D19" s="88">
        <v>38000</v>
      </c>
      <c r="E19" s="88">
        <f>D19-B19</f>
        <v>25344</v>
      </c>
      <c r="F19" s="86"/>
    </row>
    <row r="20" spans="1:6" ht="35.25">
      <c r="A20" s="127" t="s">
        <v>26</v>
      </c>
      <c r="B20" s="84">
        <f>B19+B18+B17+B16+B15</f>
        <v>1194885</v>
      </c>
      <c r="C20" s="84">
        <f>C19+C18+C17+C16+C15</f>
        <v>1481365</v>
      </c>
      <c r="D20" s="84">
        <f>D19+D18+D17+D16+D15</f>
        <v>1541584</v>
      </c>
      <c r="E20" s="89">
        <f>E19+E18+E17+E16+E15</f>
        <v>346699</v>
      </c>
      <c r="F20" s="86"/>
    </row>
    <row r="21" spans="1:6" ht="34.5">
      <c r="A21" s="136" t="s">
        <v>27</v>
      </c>
      <c r="B21" s="80"/>
      <c r="C21" s="80"/>
      <c r="D21" s="80"/>
      <c r="E21" s="81">
        <f aca="true" t="shared" si="1" ref="E21:E26">D21-C21</f>
        <v>0</v>
      </c>
      <c r="F21" s="86"/>
    </row>
    <row r="22" spans="1:6" ht="34.5">
      <c r="A22" s="130" t="s">
        <v>28</v>
      </c>
      <c r="B22" s="82"/>
      <c r="C22" s="82"/>
      <c r="D22" s="82"/>
      <c r="E22" s="89">
        <f t="shared" si="1"/>
        <v>0</v>
      </c>
      <c r="F22" s="86"/>
    </row>
    <row r="23" spans="1:6" s="179" customFormat="1" ht="34.5">
      <c r="A23" s="120" t="s">
        <v>29</v>
      </c>
      <c r="B23" s="82"/>
      <c r="C23" s="82"/>
      <c r="D23" s="82"/>
      <c r="E23" s="89">
        <f t="shared" si="1"/>
        <v>0</v>
      </c>
      <c r="F23" s="97"/>
    </row>
    <row r="24" spans="1:6" ht="34.5">
      <c r="A24" s="133" t="s">
        <v>30</v>
      </c>
      <c r="B24" s="82"/>
      <c r="C24" s="82"/>
      <c r="D24" s="82"/>
      <c r="E24" s="89">
        <f t="shared" si="1"/>
        <v>0</v>
      </c>
      <c r="F24" s="86"/>
    </row>
    <row r="25" spans="1:6" ht="34.5">
      <c r="A25" s="130" t="s">
        <v>31</v>
      </c>
      <c r="B25" s="82"/>
      <c r="C25" s="82"/>
      <c r="D25" s="82"/>
      <c r="E25" s="89">
        <f t="shared" si="1"/>
        <v>0</v>
      </c>
      <c r="F25" s="86"/>
    </row>
    <row r="26" spans="1:6" ht="34.5">
      <c r="A26" s="120" t="s">
        <v>32</v>
      </c>
      <c r="B26" s="82"/>
      <c r="C26" s="82"/>
      <c r="D26" s="82"/>
      <c r="E26" s="89">
        <f t="shared" si="1"/>
        <v>0</v>
      </c>
      <c r="F26" s="86"/>
    </row>
    <row r="27" spans="1:6" ht="35.25">
      <c r="A27" s="137" t="s">
        <v>33</v>
      </c>
      <c r="B27" s="90">
        <f>B26+B25+B24+B23+B22+B21+B20</f>
        <v>1194885</v>
      </c>
      <c r="C27" s="90">
        <f>C26+C25+C24+C23+C22+C21+C20</f>
        <v>1481365</v>
      </c>
      <c r="D27" s="90">
        <f>D26+D25+D24+D23+D22+D21+D20</f>
        <v>1541584</v>
      </c>
      <c r="E27" s="90">
        <f>D27-B27</f>
        <v>346699</v>
      </c>
      <c r="F27" s="86"/>
    </row>
    <row r="28" spans="1:6" ht="35.25">
      <c r="A28" s="128" t="s">
        <v>34</v>
      </c>
      <c r="B28" s="80"/>
      <c r="C28" s="80"/>
      <c r="D28" s="80"/>
      <c r="E28" s="87"/>
      <c r="F28" s="86"/>
    </row>
    <row r="29" spans="1:6" ht="34.5">
      <c r="A29" s="138" t="s">
        <v>35</v>
      </c>
      <c r="B29" s="80"/>
      <c r="C29" s="92"/>
      <c r="D29" s="92"/>
      <c r="E29" s="81">
        <f>D29-C29</f>
        <v>0</v>
      </c>
      <c r="F29" s="86"/>
    </row>
    <row r="30" spans="1:6" s="179" customFormat="1" ht="34.5">
      <c r="A30" s="132" t="s">
        <v>36</v>
      </c>
      <c r="B30" s="93"/>
      <c r="C30" s="93"/>
      <c r="D30" s="93"/>
      <c r="E30" s="94">
        <f>D30-C30</f>
        <v>0</v>
      </c>
      <c r="F30" s="97"/>
    </row>
    <row r="31" spans="1:6" ht="35.25">
      <c r="A31" s="139" t="s">
        <v>37</v>
      </c>
      <c r="B31" s="80"/>
      <c r="C31" s="92"/>
      <c r="D31" s="92"/>
      <c r="E31" s="80"/>
      <c r="F31" s="86"/>
    </row>
    <row r="32" spans="1:6" ht="34.5">
      <c r="A32" s="130" t="s">
        <v>38</v>
      </c>
      <c r="B32" s="80"/>
      <c r="C32" s="80"/>
      <c r="D32" s="80"/>
      <c r="E32" s="81">
        <f>D32-C32</f>
        <v>0</v>
      </c>
      <c r="F32" s="74"/>
    </row>
    <row r="33" spans="1:6" ht="34.5">
      <c r="A33" s="132" t="s">
        <v>39</v>
      </c>
      <c r="B33" s="82"/>
      <c r="C33" s="82"/>
      <c r="D33" s="82"/>
      <c r="E33" s="89">
        <f>D33-C33</f>
        <v>0</v>
      </c>
      <c r="F33" s="74"/>
    </row>
    <row r="34" spans="1:6" ht="35.25">
      <c r="A34" s="127" t="s">
        <v>40</v>
      </c>
      <c r="B34" s="84">
        <f>B33+B32+B30+B29</f>
        <v>0</v>
      </c>
      <c r="C34" s="84">
        <f>C33+C32+C30+C29</f>
        <v>0</v>
      </c>
      <c r="D34" s="84">
        <f>D33+D32+D30+D29</f>
        <v>0</v>
      </c>
      <c r="E34" s="89">
        <f>D34-C34</f>
        <v>0</v>
      </c>
      <c r="F34" s="74"/>
    </row>
    <row r="35" spans="1:6" ht="36" thickBot="1">
      <c r="A35" s="140" t="s">
        <v>41</v>
      </c>
      <c r="B35" s="95">
        <f>B34+B27+B12</f>
        <v>1194885</v>
      </c>
      <c r="C35" s="95">
        <f>C34+C27+C12</f>
        <v>1481365</v>
      </c>
      <c r="D35" s="95">
        <f>D34+D27+D12</f>
        <v>1541584</v>
      </c>
      <c r="E35" s="95">
        <f>D35-B35</f>
        <v>346699</v>
      </c>
      <c r="F35" s="74"/>
    </row>
    <row r="36" spans="1:6" ht="45" thickTop="1">
      <c r="A36" s="53" t="s">
        <v>43</v>
      </c>
      <c r="B36" s="52"/>
      <c r="C36" s="52"/>
      <c r="D36" s="52"/>
      <c r="E36" s="52"/>
      <c r="F36" s="100"/>
    </row>
    <row r="37" spans="1:5" ht="20.25">
      <c r="A37" s="101"/>
      <c r="B37" s="100"/>
      <c r="C37" s="100"/>
      <c r="D37" s="100"/>
      <c r="E37" s="100"/>
    </row>
    <row r="38" spans="1:5" ht="20.25">
      <c r="A38" s="101" t="s">
        <v>0</v>
      </c>
      <c r="B38" s="99"/>
      <c r="C38" s="99"/>
      <c r="D38" s="99"/>
      <c r="E38" s="99"/>
    </row>
    <row r="39" spans="1:5" ht="20.25">
      <c r="A39" s="101"/>
      <c r="B39" s="100"/>
      <c r="C39" s="100"/>
      <c r="D39" s="100"/>
      <c r="E39" s="100"/>
    </row>
    <row r="41" spans="1:5" ht="25.5">
      <c r="A41" s="121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OutlineSymbols="0" zoomScale="35" zoomScaleNormal="35" zoomScalePageLayoutView="0" workbookViewId="0" topLeftCell="A4">
      <selection activeCell="K26" sqref="K26"/>
    </sheetView>
  </sheetViews>
  <sheetFormatPr defaultColWidth="9.6640625" defaultRowHeight="15"/>
  <cols>
    <col min="1" max="1" width="135.10546875" style="1" customWidth="1"/>
    <col min="2" max="4" width="33.99609375" style="1" bestFit="1" customWidth="1"/>
    <col min="5" max="5" width="30.77734375" style="217" customWidth="1"/>
    <col min="6" max="6" width="49.4453125" style="29" customWidth="1"/>
    <col min="7" max="16384" width="9.6640625" style="1" customWidth="1"/>
  </cols>
  <sheetData>
    <row r="1" spans="1:6" ht="45">
      <c r="A1" s="9" t="s">
        <v>2</v>
      </c>
      <c r="B1" s="5"/>
      <c r="C1" s="208" t="s">
        <v>3</v>
      </c>
      <c r="D1" s="532" t="s">
        <v>184</v>
      </c>
      <c r="E1" s="6"/>
      <c r="F1" s="6"/>
    </row>
    <row r="2" spans="1:6" ht="45">
      <c r="A2" s="9" t="s">
        <v>9</v>
      </c>
      <c r="B2" s="5"/>
      <c r="C2" s="5"/>
      <c r="D2" s="5"/>
      <c r="E2" s="242"/>
      <c r="F2" s="20"/>
    </row>
    <row r="3" spans="1:6" ht="45.75" thickBot="1">
      <c r="A3" s="10" t="s">
        <v>10</v>
      </c>
      <c r="B3" s="7"/>
      <c r="C3" s="7"/>
      <c r="D3" s="7"/>
      <c r="E3" s="243"/>
      <c r="F3" s="21"/>
    </row>
    <row r="4" spans="1:6" ht="36" thickTop="1">
      <c r="A4" s="34" t="s">
        <v>11</v>
      </c>
      <c r="B4" s="13" t="s">
        <v>4</v>
      </c>
      <c r="C4" s="31" t="s">
        <v>5</v>
      </c>
      <c r="D4" s="31" t="s">
        <v>5</v>
      </c>
      <c r="E4" s="244" t="s">
        <v>7</v>
      </c>
      <c r="F4" s="22" t="s">
        <v>1</v>
      </c>
    </row>
    <row r="5" spans="1:5" s="75" customFormat="1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36" t="s">
        <v>12</v>
      </c>
      <c r="B6" s="241"/>
      <c r="C6" s="241"/>
      <c r="D6" s="241"/>
      <c r="E6" s="241"/>
      <c r="F6" s="24"/>
    </row>
    <row r="7" spans="1:6" ht="34.5">
      <c r="A7" s="35" t="s">
        <v>13</v>
      </c>
      <c r="B7" s="533">
        <f>SUM('LATECH-UD'!B7,'ULL-UD'!B7,'ULM-UD'!B7,'SLU-UD'!B7,'Nicholls-UD'!B7,'MCN-UD'!B7,'NSU-UD'!B7,'ULSBOS-UD'!B7,'GRAM-UD'!B7)</f>
        <v>0</v>
      </c>
      <c r="C7" s="533">
        <f>SUM('LATECH-UD'!C7,'ULL-UD'!C7,'ULM-UD'!C7,'SLU-UD'!C7,'Nicholls-UD'!C7,'MCN-UD'!C7,'NSU-UD'!C7,'ULSBOS-UD'!C7,'GRAM-UD'!C7)</f>
        <v>0</v>
      </c>
      <c r="D7" s="533">
        <f>SUM('LATECH-UD'!D7,'ULL-UD'!D7,'ULM-UD'!D7,'SLU-UD'!D7,'Nicholls-UD'!D7,'MCN-UD'!D7,'NSU-UD'!D7,'ULSBOS-UD'!D7,'GRAM-UD'!D7)</f>
        <v>0</v>
      </c>
      <c r="E7" s="533">
        <f>D7-C7</f>
        <v>0</v>
      </c>
      <c r="F7" s="538">
        <v>0</v>
      </c>
    </row>
    <row r="8" spans="1:6" ht="34.5">
      <c r="A8" s="37" t="s">
        <v>14</v>
      </c>
      <c r="B8" s="533">
        <f>SUM('LATECH-UD'!B8,'ULL-UD'!B8,'ULM-UD'!B8,'SLU-UD'!B8,'Nicholls-UD'!B8,'MCN-UD'!B8,'NSU-UD'!B8,'ULSBOS-UD'!B8,'GRAM-UD'!B8)</f>
        <v>0</v>
      </c>
      <c r="C8" s="533">
        <f>SUM('LATECH-UD'!C8,'ULL-UD'!C8,'ULM-UD'!C8,'SLU-UD'!C8,'Nicholls-UD'!C8,'MCN-UD'!C8,'NSU-UD'!C8,'ULSBOS-UD'!C8,'GRAM-UD'!C8)</f>
        <v>0</v>
      </c>
      <c r="D8" s="533">
        <f>SUM('LATECH-UD'!D8,'ULL-UD'!D8,'ULM-UD'!D8,'SLU-UD'!D8,'Nicholls-UD'!D8,'MCN-UD'!D8,'NSU-UD'!D8,'ULSBOS-UD'!D8,'GRAM-UD'!D8)</f>
        <v>0</v>
      </c>
      <c r="E8" s="533">
        <f aca="true" t="shared" si="0" ref="E8:E35">D8-C8</f>
        <v>0</v>
      </c>
      <c r="F8" s="534">
        <v>0</v>
      </c>
    </row>
    <row r="9" spans="1:6" ht="34.5">
      <c r="A9" s="38" t="s">
        <v>15</v>
      </c>
      <c r="B9" s="533">
        <f>SUM('LATECH-UD'!B9,'ULL-UD'!B9,'ULM-UD'!B9,'SLU-UD'!B9,'Nicholls-UD'!B9,'MCN-UD'!B9,'NSU-UD'!B9,'ULSBOS-UD'!B9,'GRAM-UD'!B9)</f>
        <v>0</v>
      </c>
      <c r="C9" s="533">
        <f>SUM('LATECH-UD'!C9,'ULL-UD'!C9,'ULM-UD'!C9,'SLU-UD'!C9,'Nicholls-UD'!C9,'MCN-UD'!C9,'NSU-UD'!C9,'ULSBOS-UD'!C9,'GRAM-UD'!C9)</f>
        <v>0</v>
      </c>
      <c r="D9" s="533">
        <f>SUM('LATECH-UD'!D9,'ULL-UD'!D9,'ULM-UD'!D9,'SLU-UD'!D9,'Nicholls-UD'!D9,'MCN-UD'!D9,'NSU-UD'!D9,'ULSBOS-UD'!D9,'GRAM-UD'!D9)</f>
        <v>0</v>
      </c>
      <c r="E9" s="533">
        <f t="shared" si="0"/>
        <v>0</v>
      </c>
      <c r="F9" s="534">
        <v>0</v>
      </c>
    </row>
    <row r="10" spans="1:6" ht="34.5">
      <c r="A10" s="39" t="s">
        <v>16</v>
      </c>
      <c r="B10" s="533">
        <f>SUM('LATECH-UD'!B10,'ULL-UD'!B10,'ULM-UD'!B10,'SLU-UD'!B10,'Nicholls-UD'!B10,'MCN-UD'!B10,'NSU-UD'!B10,'ULSBOS-UD'!B10,'GRAM-UD'!B10)</f>
        <v>0</v>
      </c>
      <c r="C10" s="533">
        <f>SUM('LATECH-UD'!C10,'ULL-UD'!C10,'ULM-UD'!C10,'SLU-UD'!C10,'Nicholls-UD'!C10,'MCN-UD'!C10,'NSU-UD'!C10,'ULSBOS-UD'!C10,'GRAM-UD'!C10)</f>
        <v>0</v>
      </c>
      <c r="D10" s="533">
        <f>SUM('LATECH-UD'!D10,'ULL-UD'!D10,'ULM-UD'!D10,'SLU-UD'!D10,'Nicholls-UD'!D10,'MCN-UD'!D10,'NSU-UD'!D10,'ULSBOS-UD'!D10,'GRAM-UD'!D10)</f>
        <v>0</v>
      </c>
      <c r="E10" s="533">
        <f t="shared" si="0"/>
        <v>0</v>
      </c>
      <c r="F10" s="534">
        <v>0</v>
      </c>
    </row>
    <row r="11" spans="1:6" ht="34.5">
      <c r="A11" s="39" t="s">
        <v>17</v>
      </c>
      <c r="B11" s="533">
        <f>SUM('LATECH-UD'!B11,'ULL-UD'!B11,'ULM-UD'!B11,'SLU-UD'!B11,'Nicholls-UD'!B11,'MCN-UD'!B11,'NSU-UD'!B11,'ULSBOS-UD'!B11,'GRAM-UD'!B11)</f>
        <v>103091</v>
      </c>
      <c r="C11" s="533">
        <f>SUM('LATECH-UD'!C11,'ULL-UD'!C11,'ULM-UD'!C11,'SLU-UD'!C11,'Nicholls-UD'!C11,'MCN-UD'!C11,'NSU-UD'!C11,'ULSBOS-UD'!C11,'GRAM-UD'!C11)</f>
        <v>103091</v>
      </c>
      <c r="D11" s="533">
        <f>SUM('LATECH-UD'!D11,'ULL-UD'!D11,'ULM-UD'!D11,'SLU-UD'!D11,'Nicholls-UD'!D11,'MCN-UD'!D11,'NSU-UD'!D11,'ULSBOS-UD'!D11,'GRAM-UD'!D11)</f>
        <v>6310923</v>
      </c>
      <c r="E11" s="533">
        <f t="shared" si="0"/>
        <v>6207832</v>
      </c>
      <c r="F11" s="534">
        <f aca="true" t="shared" si="1" ref="F11:F27">E11/C11</f>
        <v>60.21701215431027</v>
      </c>
    </row>
    <row r="12" spans="1:6" ht="35.25">
      <c r="A12" s="40" t="s">
        <v>18</v>
      </c>
      <c r="B12" s="546">
        <f>SUM(B7:B11)</f>
        <v>103091</v>
      </c>
      <c r="C12" s="546">
        <f>SUM(C7:C11)</f>
        <v>103091</v>
      </c>
      <c r="D12" s="546">
        <f>SUM(D7:D11)</f>
        <v>6310923</v>
      </c>
      <c r="E12" s="546">
        <f t="shared" si="0"/>
        <v>6207832</v>
      </c>
      <c r="F12" s="547">
        <f t="shared" si="1"/>
        <v>60.21701215431027</v>
      </c>
    </row>
    <row r="13" spans="1:6" ht="35.25">
      <c r="A13" s="36" t="s">
        <v>19</v>
      </c>
      <c r="B13" s="536"/>
      <c r="C13" s="536"/>
      <c r="D13" s="536"/>
      <c r="E13" s="537"/>
      <c r="F13" s="535"/>
    </row>
    <row r="14" spans="1:6" ht="35.25">
      <c r="A14" s="41" t="s">
        <v>20</v>
      </c>
      <c r="B14" s="539"/>
      <c r="C14" s="539"/>
      <c r="D14" s="539"/>
      <c r="E14" s="540"/>
      <c r="F14" s="541"/>
    </row>
    <row r="15" spans="1:6" ht="34.5">
      <c r="A15" s="542" t="s">
        <v>21</v>
      </c>
      <c r="B15" s="533">
        <f>SUM('LATECH-UD'!B15,'ULL-UD'!B15,'ULM-UD'!B15,'SLU-UD'!B15,'Nicholls-UD'!B15,'MCN-UD'!B15,'NSU-UD'!B15,'ULSBOS-UD'!B15,'GRAM-UD'!B15)</f>
        <v>166023420.18</v>
      </c>
      <c r="C15" s="533">
        <f>SUM('LATECH-UD'!C15,'ULL-UD'!C15,'ULM-UD'!C15,'SLU-UD'!C15,'Nicholls-UD'!C15,'MCN-UD'!C15,'NSU-UD'!C15,'ULSBOS-UD'!C15,'GRAM-UD'!C15)</f>
        <v>172958387</v>
      </c>
      <c r="D15" s="533">
        <f>SUM('LATECH-UD'!D15,'ULL-UD'!D15,'ULM-UD'!D15,'SLU-UD'!D15,'Nicholls-UD'!D15,'MCN-UD'!D15,'NSU-UD'!D15,'ULSBOS-UD'!D15,'GRAM-UD'!D15)</f>
        <v>182494708</v>
      </c>
      <c r="E15" s="533">
        <f>SUM('LATECH-UD'!E15,'ULL-UD'!E15,'ULM-UD'!E15,'SLU-UD'!E15,'Nicholls-UD'!E15,'MCN-UD'!E15,'NSU-UD'!E15,'ULSBOS-UD'!E15,'GRAM-UD'!E15)</f>
        <v>9536321</v>
      </c>
      <c r="F15" s="534">
        <f t="shared" si="1"/>
        <v>0.05513650517566401</v>
      </c>
    </row>
    <row r="16" spans="1:6" ht="34.5">
      <c r="A16" s="543" t="s">
        <v>22</v>
      </c>
      <c r="B16" s="533">
        <f>SUM('LATECH-UD'!B16,'ULL-UD'!B16,'ULM-UD'!B16,'SLU-UD'!B16,'Nicholls-UD'!B16,'MCN-UD'!B16,'NSU-UD'!B16,'ULSBOS-UD'!B16,'GRAM-UD'!B16)</f>
        <v>23430160</v>
      </c>
      <c r="C16" s="533">
        <f>SUM('LATECH-UD'!C16,'ULL-UD'!C16,'ULM-UD'!C16,'SLU-UD'!C16,'Nicholls-UD'!C16,'MCN-UD'!C16,'NSU-UD'!C16,'ULSBOS-UD'!C16,'GRAM-UD'!C16)</f>
        <v>22084016</v>
      </c>
      <c r="D16" s="533">
        <f>SUM('LATECH-UD'!D16,'ULL-UD'!D16,'ULM-UD'!D16,'SLU-UD'!D16,'Nicholls-UD'!D16,'MCN-UD'!D16,'NSU-UD'!D16,'ULSBOS-UD'!D16,'GRAM-UD'!D16)</f>
        <v>23402511</v>
      </c>
      <c r="E16" s="533">
        <f t="shared" si="0"/>
        <v>1318495</v>
      </c>
      <c r="F16" s="534">
        <f t="shared" si="1"/>
        <v>0.0597035883328467</v>
      </c>
    </row>
    <row r="17" spans="1:6" ht="34.5">
      <c r="A17" s="544" t="s">
        <v>23</v>
      </c>
      <c r="B17" s="533">
        <f>SUM('LATECH-UD'!B17,'ULL-UD'!B17,'ULM-UD'!B17,'SLU-UD'!B17,'Nicholls-UD'!B17,'MCN-UD'!B17,'NSU-UD'!B17,'ULSBOS-UD'!B17,'GRAM-UD'!B17)</f>
        <v>17203240</v>
      </c>
      <c r="C17" s="533">
        <f>SUM('LATECH-UD'!C17,'ULL-UD'!C17,'ULM-UD'!C17,'SLU-UD'!C17,'Nicholls-UD'!C17,'MCN-UD'!C17,'NSU-UD'!C17,'ULSBOS-UD'!C17,'GRAM-UD'!C17)</f>
        <v>18140406</v>
      </c>
      <c r="D17" s="533">
        <f>SUM('LATECH-UD'!D17,'ULL-UD'!D17,'ULM-UD'!D17,'SLU-UD'!D17,'Nicholls-UD'!D17,'MCN-UD'!D17,'NSU-UD'!D17,'ULSBOS-UD'!D17,'GRAM-UD'!D17)</f>
        <v>17572331</v>
      </c>
      <c r="E17" s="533">
        <f t="shared" si="0"/>
        <v>-568075</v>
      </c>
      <c r="F17" s="534">
        <f t="shared" si="1"/>
        <v>-0.031315451263880204</v>
      </c>
    </row>
    <row r="18" spans="1:6" ht="34.5">
      <c r="A18" s="544" t="s">
        <v>24</v>
      </c>
      <c r="B18" s="533">
        <f>SUM('LATECH-UD'!B18,'ULL-UD'!B18,'ULM-UD'!B18,'SLU-UD'!B18,'Nicholls-UD'!B18,'MCN-UD'!B18,'NSU-UD'!B18,'ULSBOS-UD'!B18,'GRAM-UD'!B18)</f>
        <v>8848075.35</v>
      </c>
      <c r="C18" s="533">
        <f>SUM('LATECH-UD'!C18,'ULL-UD'!C18,'ULM-UD'!C18,'SLU-UD'!C18,'Nicholls-UD'!C18,'MCN-UD'!C18,'NSU-UD'!C18,'ULSBOS-UD'!C18,'GRAM-UD'!C18)</f>
        <v>9168918</v>
      </c>
      <c r="D18" s="533">
        <f>SUM('LATECH-UD'!D18,'ULL-UD'!D18,'ULM-UD'!D18,'SLU-UD'!D18,'Nicholls-UD'!D18,'MCN-UD'!D18,'NSU-UD'!D18,'ULSBOS-UD'!D18,'GRAM-UD'!D18)</f>
        <v>8795266</v>
      </c>
      <c r="E18" s="533">
        <f t="shared" si="0"/>
        <v>-373652</v>
      </c>
      <c r="F18" s="534">
        <f t="shared" si="1"/>
        <v>-0.040752027665641684</v>
      </c>
    </row>
    <row r="19" spans="1:6" ht="34.5">
      <c r="A19" s="543" t="s">
        <v>25</v>
      </c>
      <c r="B19" s="533">
        <f>SUM('LATECH-UD'!B19,'ULL-UD'!B19,'ULM-UD'!B19,'SLU-UD'!B19,'Nicholls-UD'!B19,'MCN-UD'!B19,'NSU-UD'!B19,'ULSBOS-UD'!B19,'GRAM-UD'!B19)</f>
        <v>9300730</v>
      </c>
      <c r="C19" s="533">
        <f>SUM('LATECH-UD'!C19,'ULL-UD'!C19,'ULM-UD'!C19,'SLU-UD'!C19,'Nicholls-UD'!C19,'MCN-UD'!C19,'NSU-UD'!C19,'ULSBOS-UD'!C19,'GRAM-UD'!C19)</f>
        <v>11069500</v>
      </c>
      <c r="D19" s="533">
        <f>SUM('LATECH-UD'!D19,'ULL-UD'!D19,'ULM-UD'!D19,'SLU-UD'!D19,'Nicholls-UD'!D19,'MCN-UD'!D19,'NSU-UD'!D19,'ULSBOS-UD'!D19,'GRAM-UD'!D19)</f>
        <v>11206828</v>
      </c>
      <c r="E19" s="533">
        <f t="shared" si="0"/>
        <v>137328</v>
      </c>
      <c r="F19" s="534">
        <f t="shared" si="1"/>
        <v>0.012405980396585211</v>
      </c>
    </row>
    <row r="20" spans="1:6" ht="35.25">
      <c r="A20" s="545" t="s">
        <v>26</v>
      </c>
      <c r="B20" s="546">
        <f>SUM(B15:B19)</f>
        <v>224805625.53</v>
      </c>
      <c r="C20" s="546">
        <f>SUM(C15:C19)</f>
        <v>233421227</v>
      </c>
      <c r="D20" s="546">
        <f>SUM(D15:D19)</f>
        <v>243471644</v>
      </c>
      <c r="E20" s="546">
        <f t="shared" si="0"/>
        <v>10050417</v>
      </c>
      <c r="F20" s="548">
        <f t="shared" si="1"/>
        <v>0.04305699669721983</v>
      </c>
    </row>
    <row r="21" spans="1:6" ht="34.5">
      <c r="A21" s="43" t="s">
        <v>27</v>
      </c>
      <c r="B21" s="533">
        <f>SUM('LATECH-UD'!B21,'ULL-UD'!B21,'ULM-UD'!B21,'SLU-UD'!B21,'Nicholls-UD'!B21,'MCN-UD'!B21,'NSU-UD'!B21,'ULSBOS-UD'!B21,'GRAM-UD'!B21)</f>
        <v>0</v>
      </c>
      <c r="C21" s="533">
        <f>SUM('LATECH-UD'!C21,'ULL-UD'!C21,'ULM-UD'!C21,'SLU-UD'!C21,'Nicholls-UD'!C21,'MCN-UD'!C21,'NSU-UD'!C21,'ULSBOS-UD'!C21,'GRAM-UD'!C21)</f>
        <v>0</v>
      </c>
      <c r="D21" s="533">
        <f>SUM('LATECH-UD'!D21,'ULL-UD'!D21,'ULM-UD'!D21,'SLU-UD'!D21,'Nicholls-UD'!D21,'MCN-UD'!D21,'NSU-UD'!D21,'ULSBOS-UD'!D21,'GRAM-UD'!D21)</f>
        <v>0</v>
      </c>
      <c r="E21" s="533">
        <f t="shared" si="0"/>
        <v>0</v>
      </c>
      <c r="F21" s="534">
        <v>0</v>
      </c>
    </row>
    <row r="22" spans="1:6" ht="34.5">
      <c r="A22" s="42" t="s">
        <v>28</v>
      </c>
      <c r="B22" s="533">
        <f>SUM('LATECH-UD'!B22,'ULL-UD'!B22,'ULM-UD'!B22,'SLU-UD'!B22,'Nicholls-UD'!B22,'MCN-UD'!B22,'NSU-UD'!B22,'ULSBOS-UD'!B22,'GRAM-UD'!B22)</f>
        <v>2880226</v>
      </c>
      <c r="C22" s="533">
        <f>SUM('LATECH-UD'!C22,'ULL-UD'!C22,'ULM-UD'!C22,'SLU-UD'!C22,'Nicholls-UD'!C22,'MCN-UD'!C22,'NSU-UD'!C22,'ULSBOS-UD'!C22,'GRAM-UD'!C22)</f>
        <v>2791858</v>
      </c>
      <c r="D22" s="533">
        <f>SUM('LATECH-UD'!D22,'ULL-UD'!D22,'ULM-UD'!D22,'SLU-UD'!D22,'Nicholls-UD'!D22,'MCN-UD'!D22,'NSU-UD'!D22,'ULSBOS-UD'!D22,'GRAM-UD'!D22)</f>
        <v>2811745</v>
      </c>
      <c r="E22" s="533">
        <f>D22-C22</f>
        <v>19887</v>
      </c>
      <c r="F22" s="534">
        <f t="shared" si="1"/>
        <v>0.007123213286635639</v>
      </c>
    </row>
    <row r="23" spans="1:6" ht="34.5">
      <c r="A23" s="44" t="s">
        <v>29</v>
      </c>
      <c r="B23" s="533">
        <f>SUM('LATECH-UD'!B23,'ULL-UD'!B23,'ULM-UD'!B23,'SLU-UD'!B23,'Nicholls-UD'!B23,'MCN-UD'!B23,'NSU-UD'!B23,'ULSBOS-UD'!B23,'GRAM-UD'!B23)</f>
        <v>1581134</v>
      </c>
      <c r="C23" s="533">
        <f>SUM('LATECH-UD'!C23,'ULL-UD'!C23,'ULM-UD'!C23,'SLU-UD'!C23,'Nicholls-UD'!C23,'MCN-UD'!C23,'NSU-UD'!C23,'ULSBOS-UD'!C23,'GRAM-UD'!C23)</f>
        <v>2499215</v>
      </c>
      <c r="D23" s="533">
        <f>SUM('LATECH-UD'!D23,'ULL-UD'!D23,'ULM-UD'!D23,'SLU-UD'!D23,'Nicholls-UD'!D23,'MCN-UD'!D23,'NSU-UD'!D23,'ULSBOS-UD'!D23,'GRAM-UD'!D23)</f>
        <v>1320000</v>
      </c>
      <c r="E23" s="533">
        <f t="shared" si="0"/>
        <v>-1179215</v>
      </c>
      <c r="F23" s="534">
        <f t="shared" si="1"/>
        <v>-0.4718341559249604</v>
      </c>
    </row>
    <row r="24" spans="1:6" ht="34.5">
      <c r="A24" s="38" t="s">
        <v>30</v>
      </c>
      <c r="B24" s="533">
        <f>SUM('LATECH-UD'!B24,'ULL-UD'!B24,'ULM-UD'!B24,'SLU-UD'!B24,'Nicholls-UD'!B24,'MCN-UD'!B24,'NSU-UD'!B24,'ULSBOS-UD'!B24,'GRAM-UD'!B24)</f>
        <v>539560</v>
      </c>
      <c r="C24" s="533">
        <f>SUM('LATECH-UD'!C24,'ULL-UD'!C24,'ULM-UD'!C24,'SLU-UD'!C24,'Nicholls-UD'!C24,'MCN-UD'!C24,'NSU-UD'!C24,'ULSBOS-UD'!C24,'GRAM-UD'!C24)</f>
        <v>387000</v>
      </c>
      <c r="D24" s="533">
        <f>SUM('LATECH-UD'!D24,'ULL-UD'!D24,'ULM-UD'!D24,'SLU-UD'!D24,'Nicholls-UD'!D24,'MCN-UD'!D24,'NSU-UD'!D24,'ULSBOS-UD'!D24,'GRAM-UD'!D24)</f>
        <v>464000</v>
      </c>
      <c r="E24" s="533">
        <f t="shared" si="0"/>
        <v>77000</v>
      </c>
      <c r="F24" s="534">
        <f t="shared" si="1"/>
        <v>0.19896640826873385</v>
      </c>
    </row>
    <row r="25" spans="1:6" ht="34.5">
      <c r="A25" s="42" t="s">
        <v>31</v>
      </c>
      <c r="B25" s="533">
        <f>SUM('LATECH-UD'!B25,'ULL-UD'!B25,'ULM-UD'!B25,'SLU-UD'!B25,'Nicholls-UD'!B25,'MCN-UD'!B25,'NSU-UD'!B25,'ULSBOS-UD'!B25,'GRAM-UD'!B25)</f>
        <v>0</v>
      </c>
      <c r="C25" s="533">
        <f>SUM('LATECH-UD'!C25,'ULL-UD'!C25,'ULM-UD'!C25,'SLU-UD'!C25,'Nicholls-UD'!C25,'MCN-UD'!C25,'NSU-UD'!C25,'ULSBOS-UD'!C25,'GRAM-UD'!C25)</f>
        <v>0</v>
      </c>
      <c r="D25" s="533">
        <f>SUM('LATECH-UD'!D25,'ULL-UD'!D25,'ULM-UD'!D25,'SLU-UD'!D25,'Nicholls-UD'!D25,'MCN-UD'!D25,'NSU-UD'!D25,'ULSBOS-UD'!D25,'GRAM-UD'!D25)</f>
        <v>0</v>
      </c>
      <c r="E25" s="533">
        <f t="shared" si="0"/>
        <v>0</v>
      </c>
      <c r="F25" s="534">
        <v>0</v>
      </c>
    </row>
    <row r="26" spans="1:6" ht="34.5">
      <c r="A26" s="44" t="s">
        <v>32</v>
      </c>
      <c r="B26" s="533">
        <f>SUM('LATECH-UD'!B26,'ULL-UD'!B26,'ULM-UD'!B26,'SLU-UD'!B26,'Nicholls-UD'!B26,'MCN-UD'!B26,'NSU-UD'!B26,'ULSBOS-UD'!B26,'GRAM-UD'!B26)</f>
        <v>21590625</v>
      </c>
      <c r="C26" s="533">
        <f>SUM('LATECH-UD'!C26,'ULL-UD'!C26,'ULM-UD'!C26,'SLU-UD'!C26,'Nicholls-UD'!C26,'MCN-UD'!C26,'NSU-UD'!C26,'ULSBOS-UD'!C26,'GRAM-UD'!C26)</f>
        <v>31588813</v>
      </c>
      <c r="D26" s="533">
        <f>SUM('LATECH-UD'!D26,'ULL-UD'!D26,'ULM-UD'!D26,'SLU-UD'!D26,'Nicholls-UD'!D26,'MCN-UD'!D26,'NSU-UD'!D26,'ULSBOS-UD'!D26,'GRAM-UD'!D26)</f>
        <v>31453162</v>
      </c>
      <c r="E26" s="533">
        <f t="shared" si="0"/>
        <v>-135651</v>
      </c>
      <c r="F26" s="534">
        <f>E26/C26</f>
        <v>-0.004294273418884084</v>
      </c>
    </row>
    <row r="27" spans="1:6" ht="35.25">
      <c r="A27" s="45" t="s">
        <v>33</v>
      </c>
      <c r="B27" s="546">
        <f>SUM(B20:B26)-1</f>
        <v>251397169.53</v>
      </c>
      <c r="C27" s="546">
        <f>SUM(C20:C26)-1</f>
        <v>270688112</v>
      </c>
      <c r="D27" s="546">
        <f>SUM(D20:D26)-1</f>
        <v>279520550</v>
      </c>
      <c r="E27" s="546">
        <f t="shared" si="0"/>
        <v>8832438</v>
      </c>
      <c r="F27" s="547">
        <f t="shared" si="1"/>
        <v>0.03262957480748176</v>
      </c>
    </row>
    <row r="28" spans="1:6" ht="35.25">
      <c r="A28" s="41" t="s">
        <v>34</v>
      </c>
      <c r="B28" s="536"/>
      <c r="C28" s="536"/>
      <c r="D28" s="536"/>
      <c r="E28" s="537"/>
      <c r="F28" s="535"/>
    </row>
    <row r="29" spans="1:6" ht="34.5">
      <c r="A29" s="46" t="s">
        <v>35</v>
      </c>
      <c r="B29" s="533">
        <f>SUM('LATECH-UD'!B29,'ULL-UD'!B29,'ULM-UD'!B29,'SLU-UD'!B29,'Nicholls-UD'!B29,'MCN-UD'!B29,'NSU-UD'!B29,'ULSBOS-UD'!B29,'GRAM-UD'!B29)</f>
        <v>0</v>
      </c>
      <c r="C29" s="533">
        <f>SUM('LATECH-UD'!C29,'ULL-UD'!C29,'ULM-UD'!C29,'SLU-UD'!C29,'Nicholls-UD'!C29,'MCN-UD'!C29,'NSU-UD'!C29,'ULSBOS-UD'!C29,'GRAM-UD'!C29)</f>
        <v>0</v>
      </c>
      <c r="D29" s="533">
        <f>SUM('LATECH-UD'!D29,'ULL-UD'!D29,'ULM-UD'!D29,'SLU-UD'!D29,'Nicholls-UD'!D29,'MCN-UD'!D29,'NSU-UD'!D29,'ULSBOS-UD'!D29,'GRAM-UD'!D29)</f>
        <v>0</v>
      </c>
      <c r="E29" s="533">
        <f t="shared" si="0"/>
        <v>0</v>
      </c>
      <c r="F29" s="534">
        <v>0</v>
      </c>
    </row>
    <row r="30" spans="1:6" ht="34.5">
      <c r="A30" s="37" t="s">
        <v>36</v>
      </c>
      <c r="B30" s="533">
        <f>SUM('LATECH-UD'!B30,'ULL-UD'!B30,'ULM-UD'!B30,'SLU-UD'!B30,'Nicholls-UD'!B30,'MCN-UD'!B30,'NSU-UD'!B30,'ULSBOS-UD'!B30,'GRAM-UD'!B30)</f>
        <v>0</v>
      </c>
      <c r="C30" s="533">
        <f>SUM('LATECH-UD'!C30,'ULL-UD'!C30,'ULM-UD'!C30,'SLU-UD'!C30,'Nicholls-UD'!C30,'MCN-UD'!C30,'NSU-UD'!C30,'ULSBOS-UD'!C30,'GRAM-UD'!C30)</f>
        <v>0</v>
      </c>
      <c r="D30" s="533">
        <f>SUM('LATECH-UD'!D30,'ULL-UD'!D30,'ULM-UD'!D30,'SLU-UD'!D30,'Nicholls-UD'!D30,'MCN-UD'!D30,'NSU-UD'!D30,'ULSBOS-UD'!D30,'GRAM-UD'!D30)</f>
        <v>0</v>
      </c>
      <c r="E30" s="533">
        <f t="shared" si="0"/>
        <v>0</v>
      </c>
      <c r="F30" s="534">
        <v>0</v>
      </c>
    </row>
    <row r="31" spans="1:6" ht="35.25">
      <c r="A31" s="47" t="s">
        <v>37</v>
      </c>
      <c r="B31" s="537"/>
      <c r="C31" s="537"/>
      <c r="D31" s="537"/>
      <c r="E31" s="537"/>
      <c r="F31" s="535"/>
    </row>
    <row r="32" spans="1:6" ht="34.5">
      <c r="A32" s="42" t="s">
        <v>38</v>
      </c>
      <c r="B32" s="533">
        <f>SUM('LATECH-UD'!B32,'ULL-UD'!B32,'ULM-UD'!B32,'SLU-UD'!B32,'Nicholls-UD'!B32,'MCN-UD'!B32,'NSU-UD'!B32,'ULSBOS-UD'!B32,'GRAM-UD'!B31)</f>
        <v>0</v>
      </c>
      <c r="C32" s="533">
        <f>SUM('LATECH-UD'!C32,'ULL-UD'!C32,'ULM-UD'!C32,'SLU-UD'!C32,'Nicholls-UD'!C32,'MCN-UD'!C32,'NSU-UD'!C32,'ULSBOS-UD'!C32,'GRAM-UD'!C31)</f>
        <v>0</v>
      </c>
      <c r="D32" s="533">
        <f>SUM('LATECH-UD'!D32,'ULL-UD'!D32,'ULM-UD'!D32,'SLU-UD'!D32,'Nicholls-UD'!D32,'MCN-UD'!D32,'NSU-UD'!D32,'ULSBOS-UD'!D32,'GRAM-UD'!D31)</f>
        <v>0</v>
      </c>
      <c r="E32" s="533">
        <f t="shared" si="0"/>
        <v>0</v>
      </c>
      <c r="F32" s="534">
        <v>0</v>
      </c>
    </row>
    <row r="33" spans="1:6" ht="34.5">
      <c r="A33" s="37" t="s">
        <v>39</v>
      </c>
      <c r="B33" s="533">
        <f>SUM('LATECH-UD'!B33,'ULL-UD'!B33,'ULM-UD'!B33,'SLU-UD'!B33,'Nicholls-UD'!B33,'MCN-UD'!B33,'NSU-UD'!B33,'ULSBOS-UD'!B33,'GRAM-UD'!B32)</f>
        <v>0</v>
      </c>
      <c r="C33" s="533">
        <f>SUM('LATECH-UD'!C33,'ULL-UD'!C33,'ULM-UD'!C33,'SLU-UD'!C33,'Nicholls-UD'!C33,'MCN-UD'!C33,'NSU-UD'!C33,'ULSBOS-UD'!C33,'GRAM-UD'!C32)</f>
        <v>0</v>
      </c>
      <c r="D33" s="533">
        <f>SUM('LATECH-UD'!D33,'ULL-UD'!D33,'ULM-UD'!D33,'SLU-UD'!D33,'Nicholls-UD'!D33,'MCN-UD'!D33,'NSU-UD'!D33,'ULSBOS-UD'!D33,'GRAM-UD'!D32)</f>
        <v>0</v>
      </c>
      <c r="E33" s="533">
        <f t="shared" si="0"/>
        <v>0</v>
      </c>
      <c r="F33" s="534">
        <v>0</v>
      </c>
    </row>
    <row r="34" spans="1:6" ht="35.25">
      <c r="A34" s="36" t="s">
        <v>40</v>
      </c>
      <c r="B34" s="546">
        <f>SUM(B29:B33)</f>
        <v>0</v>
      </c>
      <c r="C34" s="546">
        <f>SUM(C29:C33)</f>
        <v>0</v>
      </c>
      <c r="D34" s="546">
        <f>SUM(D29:D33)</f>
        <v>0</v>
      </c>
      <c r="E34" s="546">
        <f t="shared" si="0"/>
        <v>0</v>
      </c>
      <c r="F34" s="549"/>
    </row>
    <row r="35" spans="1:6" ht="36" thickBot="1">
      <c r="A35" s="48" t="s">
        <v>41</v>
      </c>
      <c r="B35" s="546">
        <f>SUM(B34,B27,B12)</f>
        <v>251500260.53</v>
      </c>
      <c r="C35" s="546">
        <f>SUM(C34,C27,C12)</f>
        <v>270791203</v>
      </c>
      <c r="D35" s="546">
        <f>SUM(D34,D27,D12)</f>
        <v>285831473</v>
      </c>
      <c r="E35" s="546">
        <f t="shared" si="0"/>
        <v>15040270</v>
      </c>
      <c r="F35" s="547">
        <f>E35/C35</f>
        <v>0.055541944617750375</v>
      </c>
    </row>
    <row r="36" spans="1:6" ht="35.25" customHeight="1" thickTop="1">
      <c r="A36" s="2"/>
      <c r="B36" s="109"/>
      <c r="C36" s="109"/>
      <c r="D36" s="109"/>
      <c r="E36" s="245"/>
      <c r="F36" s="28"/>
    </row>
    <row r="37" spans="1:6" ht="15">
      <c r="A37" s="2"/>
      <c r="B37" s="2"/>
      <c r="C37" s="2"/>
      <c r="D37" s="2"/>
      <c r="E37" s="246"/>
      <c r="F37" s="28"/>
    </row>
    <row r="43" ht="15">
      <c r="A43" s="1" t="s"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30" zoomScaleNormal="30" zoomScalePageLayoutView="0" workbookViewId="0" topLeftCell="A3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56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36" t="s">
        <v>12</v>
      </c>
      <c r="B6" s="283"/>
      <c r="C6" s="284"/>
      <c r="D6" s="284"/>
      <c r="E6" s="285"/>
      <c r="F6" s="74"/>
    </row>
    <row r="7" spans="1:6" ht="35.25">
      <c r="A7" s="35" t="s">
        <v>13</v>
      </c>
      <c r="B7" s="286">
        <v>0</v>
      </c>
      <c r="C7" s="286">
        <v>0</v>
      </c>
      <c r="D7" s="286">
        <v>0</v>
      </c>
      <c r="E7" s="286">
        <f>D7-C7</f>
        <v>0</v>
      </c>
      <c r="F7" s="74"/>
    </row>
    <row r="8" spans="1:6" ht="35.25">
      <c r="A8" s="37" t="s">
        <v>14</v>
      </c>
      <c r="B8" s="287">
        <v>0</v>
      </c>
      <c r="C8" s="287">
        <v>0</v>
      </c>
      <c r="D8" s="287">
        <v>0</v>
      </c>
      <c r="E8" s="286">
        <f>D8-C8</f>
        <v>0</v>
      </c>
      <c r="F8" s="74"/>
    </row>
    <row r="9" spans="1:6" ht="35.25">
      <c r="A9" s="38" t="s">
        <v>15</v>
      </c>
      <c r="B9" s="287">
        <v>0</v>
      </c>
      <c r="C9" s="287">
        <v>0</v>
      </c>
      <c r="D9" s="287">
        <v>0</v>
      </c>
      <c r="E9" s="286">
        <f>D9-C9</f>
        <v>0</v>
      </c>
      <c r="F9" s="74"/>
    </row>
    <row r="10" spans="1:6" ht="35.25">
      <c r="A10" s="39" t="s">
        <v>16</v>
      </c>
      <c r="B10" s="287">
        <v>0</v>
      </c>
      <c r="C10" s="287">
        <v>0</v>
      </c>
      <c r="D10" s="287">
        <v>0</v>
      </c>
      <c r="E10" s="286">
        <f>D10-C10</f>
        <v>0</v>
      </c>
      <c r="F10" s="74"/>
    </row>
    <row r="11" spans="1:6" ht="35.25">
      <c r="A11" s="309" t="s">
        <v>17</v>
      </c>
      <c r="B11" s="287">
        <v>0</v>
      </c>
      <c r="C11" s="287">
        <v>0</v>
      </c>
      <c r="D11" s="287">
        <v>0</v>
      </c>
      <c r="E11" s="286">
        <f>D11-C11</f>
        <v>0</v>
      </c>
      <c r="F11" s="74"/>
    </row>
    <row r="12" spans="1:6" s="179" customFormat="1" ht="35.25">
      <c r="A12" s="40" t="s">
        <v>18</v>
      </c>
      <c r="B12" s="288">
        <f>SUM(B7:B11)</f>
        <v>0</v>
      </c>
      <c r="C12" s="288">
        <f>SUM(C7:C11)</f>
        <v>0</v>
      </c>
      <c r="D12" s="288">
        <f>SUM(D7:D11)</f>
        <v>0</v>
      </c>
      <c r="E12" s="288">
        <f>SUM(E7:E11)</f>
        <v>0</v>
      </c>
      <c r="F12" s="107"/>
    </row>
    <row r="13" spans="1:6" ht="35.25">
      <c r="A13" s="36" t="s">
        <v>19</v>
      </c>
      <c r="B13" s="289"/>
      <c r="C13" s="290"/>
      <c r="D13" s="290"/>
      <c r="E13" s="291"/>
      <c r="F13" s="74"/>
    </row>
    <row r="14" spans="1:6" ht="35.25">
      <c r="A14" s="41" t="s">
        <v>20</v>
      </c>
      <c r="B14" s="283"/>
      <c r="C14" s="284"/>
      <c r="D14" s="284"/>
      <c r="E14" s="285"/>
      <c r="F14" s="74"/>
    </row>
    <row r="15" spans="1:6" ht="35.25">
      <c r="A15" s="43" t="s">
        <v>21</v>
      </c>
      <c r="B15" s="292">
        <v>2539105</v>
      </c>
      <c r="C15" s="292">
        <v>3181430</v>
      </c>
      <c r="D15" s="292">
        <v>3510515</v>
      </c>
      <c r="E15" s="286">
        <f>D15-C15</f>
        <v>329085</v>
      </c>
      <c r="F15" s="86"/>
    </row>
    <row r="16" spans="1:6" ht="35.25">
      <c r="A16" s="39" t="s">
        <v>22</v>
      </c>
      <c r="B16" s="293">
        <v>60883</v>
      </c>
      <c r="C16" s="293">
        <v>39532</v>
      </c>
      <c r="D16" s="293">
        <v>62100</v>
      </c>
      <c r="E16" s="286">
        <f>D16-C16</f>
        <v>22568</v>
      </c>
      <c r="F16" s="86"/>
    </row>
    <row r="17" spans="1:6" ht="35.25">
      <c r="A17" s="310" t="s">
        <v>23</v>
      </c>
      <c r="B17" s="293">
        <v>372025</v>
      </c>
      <c r="C17" s="293">
        <v>375100</v>
      </c>
      <c r="D17" s="293">
        <v>379466</v>
      </c>
      <c r="E17" s="286">
        <f>D17-C17</f>
        <v>4366</v>
      </c>
      <c r="F17" s="86"/>
    </row>
    <row r="18" spans="1:6" ht="35.25">
      <c r="A18" s="310" t="s">
        <v>24</v>
      </c>
      <c r="B18" s="292">
        <v>153076</v>
      </c>
      <c r="C18" s="292">
        <v>157300</v>
      </c>
      <c r="D18" s="292">
        <v>156138</v>
      </c>
      <c r="E18" s="286">
        <f>D18-C18</f>
        <v>-1162</v>
      </c>
      <c r="F18" s="86"/>
    </row>
    <row r="19" spans="1:6" ht="35.25">
      <c r="A19" s="35" t="s">
        <v>169</v>
      </c>
      <c r="B19" s="287">
        <v>224253</v>
      </c>
      <c r="C19" s="287">
        <v>291146</v>
      </c>
      <c r="D19" s="287">
        <v>269558</v>
      </c>
      <c r="E19" s="286">
        <f>D19-C19</f>
        <v>-21588</v>
      </c>
      <c r="F19" s="86"/>
    </row>
    <row r="20" spans="1:6" ht="35.25">
      <c r="A20" s="36" t="s">
        <v>26</v>
      </c>
      <c r="B20" s="294">
        <f>SUM(B15:B19)</f>
        <v>3349342</v>
      </c>
      <c r="C20" s="294">
        <f>SUM(C15:C19)</f>
        <v>4044508</v>
      </c>
      <c r="D20" s="294">
        <f>SUM(D15:D19)</f>
        <v>4377777</v>
      </c>
      <c r="E20" s="294">
        <f>SUM(E15:E19)</f>
        <v>333269</v>
      </c>
      <c r="F20" s="86"/>
    </row>
    <row r="21" spans="1:6" ht="35.25">
      <c r="A21" s="43" t="s">
        <v>27</v>
      </c>
      <c r="B21" s="287">
        <v>0</v>
      </c>
      <c r="C21" s="287">
        <v>0</v>
      </c>
      <c r="D21" s="287">
        <v>0</v>
      </c>
      <c r="E21" s="286">
        <f aca="true" t="shared" si="0" ref="E21:E26">D21-C21</f>
        <v>0</v>
      </c>
      <c r="F21" s="86"/>
    </row>
    <row r="22" spans="1:6" ht="35.25">
      <c r="A22" s="42" t="s">
        <v>28</v>
      </c>
      <c r="B22" s="287">
        <v>0</v>
      </c>
      <c r="C22" s="287">
        <v>0</v>
      </c>
      <c r="D22" s="287">
        <v>0</v>
      </c>
      <c r="E22" s="286">
        <f t="shared" si="0"/>
        <v>0</v>
      </c>
      <c r="F22" s="86"/>
    </row>
    <row r="23" spans="1:6" s="179" customFormat="1" ht="35.25">
      <c r="A23" s="44" t="s">
        <v>29</v>
      </c>
      <c r="B23" s="287">
        <v>0</v>
      </c>
      <c r="C23" s="287">
        <v>0</v>
      </c>
      <c r="D23" s="287">
        <v>0</v>
      </c>
      <c r="E23" s="286">
        <f t="shared" si="0"/>
        <v>0</v>
      </c>
      <c r="F23" s="97"/>
    </row>
    <row r="24" spans="1:6" ht="35.25">
      <c r="A24" s="38" t="s">
        <v>30</v>
      </c>
      <c r="B24" s="287">
        <v>0</v>
      </c>
      <c r="C24" s="287">
        <v>0</v>
      </c>
      <c r="D24" s="287">
        <v>0</v>
      </c>
      <c r="E24" s="286">
        <f t="shared" si="0"/>
        <v>0</v>
      </c>
      <c r="F24" s="86"/>
    </row>
    <row r="25" spans="1:6" ht="35.25">
      <c r="A25" s="42" t="s">
        <v>31</v>
      </c>
      <c r="B25" s="287">
        <v>0</v>
      </c>
      <c r="C25" s="287">
        <v>0</v>
      </c>
      <c r="D25" s="287">
        <v>0</v>
      </c>
      <c r="E25" s="286">
        <f t="shared" si="0"/>
        <v>0</v>
      </c>
      <c r="F25" s="86"/>
    </row>
    <row r="26" spans="1:6" ht="35.25">
      <c r="A26" s="44" t="s">
        <v>32</v>
      </c>
      <c r="B26" s="287">
        <v>79671</v>
      </c>
      <c r="C26" s="287">
        <v>255492</v>
      </c>
      <c r="D26" s="287">
        <v>86792</v>
      </c>
      <c r="E26" s="286">
        <f t="shared" si="0"/>
        <v>-168700</v>
      </c>
      <c r="F26" s="86"/>
    </row>
    <row r="27" spans="1:6" ht="35.25">
      <c r="A27" s="45" t="s">
        <v>33</v>
      </c>
      <c r="B27" s="295">
        <f>+B26+B25+B23+B21+B20</f>
        <v>3429013</v>
      </c>
      <c r="C27" s="295">
        <f>+C26+C25+C23+C21+C20</f>
        <v>4300000</v>
      </c>
      <c r="D27" s="295">
        <f>+D26+D25+D23+D21+D20</f>
        <v>4464569</v>
      </c>
      <c r="E27" s="295">
        <f>+E26+E25+E23+E21+E20</f>
        <v>164569</v>
      </c>
      <c r="F27" s="86"/>
    </row>
    <row r="28" spans="1:6" ht="35.25">
      <c r="A28" s="41" t="s">
        <v>34</v>
      </c>
      <c r="B28" s="283"/>
      <c r="C28" s="284"/>
      <c r="D28" s="284"/>
      <c r="E28" s="285"/>
      <c r="F28" s="86"/>
    </row>
    <row r="29" spans="1:6" ht="35.25">
      <c r="A29" s="46" t="s">
        <v>35</v>
      </c>
      <c r="B29" s="286">
        <v>0</v>
      </c>
      <c r="C29" s="286">
        <v>0</v>
      </c>
      <c r="D29" s="286">
        <f>(B29*1.02009238057106)</f>
        <v>0</v>
      </c>
      <c r="E29" s="286">
        <f>D29-C29</f>
        <v>0</v>
      </c>
      <c r="F29" s="86"/>
    </row>
    <row r="30" spans="1:6" s="179" customFormat="1" ht="35.25">
      <c r="A30" s="37" t="s">
        <v>36</v>
      </c>
      <c r="B30" s="296">
        <v>0</v>
      </c>
      <c r="C30" s="296">
        <v>0</v>
      </c>
      <c r="D30" s="296">
        <v>0</v>
      </c>
      <c r="E30" s="286">
        <f>D30-C30</f>
        <v>0</v>
      </c>
      <c r="F30" s="97"/>
    </row>
    <row r="31" spans="1:6" ht="35.25">
      <c r="A31" s="47" t="s">
        <v>37</v>
      </c>
      <c r="B31" s="283"/>
      <c r="C31" s="284"/>
      <c r="D31" s="284"/>
      <c r="E31" s="285"/>
      <c r="F31" s="86"/>
    </row>
    <row r="32" spans="1:6" ht="35.25">
      <c r="A32" s="42" t="s">
        <v>38</v>
      </c>
      <c r="B32" s="286">
        <v>0</v>
      </c>
      <c r="C32" s="286">
        <v>0</v>
      </c>
      <c r="D32" s="286">
        <v>0</v>
      </c>
      <c r="E32" s="286">
        <f>D32-C32</f>
        <v>0</v>
      </c>
      <c r="F32" s="74"/>
    </row>
    <row r="33" spans="1:6" ht="35.25">
      <c r="A33" s="37" t="s">
        <v>39</v>
      </c>
      <c r="B33" s="287">
        <v>0</v>
      </c>
      <c r="C33" s="287">
        <v>0</v>
      </c>
      <c r="D33" s="287">
        <v>0</v>
      </c>
      <c r="E33" s="286">
        <f>D33-C33</f>
        <v>0</v>
      </c>
      <c r="F33" s="74"/>
    </row>
    <row r="34" spans="1:6" ht="35.25">
      <c r="A34" s="36" t="s">
        <v>40</v>
      </c>
      <c r="B34" s="287">
        <f>SUM(B29:B33)</f>
        <v>0</v>
      </c>
      <c r="C34" s="287">
        <f>SUM(C29:C33)</f>
        <v>0</v>
      </c>
      <c r="D34" s="287">
        <f>SUM(D29:D33)</f>
        <v>0</v>
      </c>
      <c r="E34" s="286">
        <f>D34-C34</f>
        <v>0</v>
      </c>
      <c r="F34" s="74"/>
    </row>
    <row r="35" spans="1:6" ht="36" thickBot="1">
      <c r="A35" s="48" t="s">
        <v>41</v>
      </c>
      <c r="B35" s="297">
        <f>B34+B27+B12</f>
        <v>3429013</v>
      </c>
      <c r="C35" s="297">
        <f>C34+C27+C12</f>
        <v>4300000</v>
      </c>
      <c r="D35" s="297">
        <f>D34+D27+D12</f>
        <v>4464569</v>
      </c>
      <c r="E35" s="297">
        <f>E34+E27+E12</f>
        <v>164569</v>
      </c>
      <c r="F35" s="74"/>
    </row>
    <row r="36" spans="1:6" ht="45" thickTop="1">
      <c r="A36" s="53" t="s">
        <v>43</v>
      </c>
      <c r="B36" s="52"/>
      <c r="C36" s="52"/>
      <c r="D36" s="52"/>
      <c r="E36" s="52"/>
      <c r="F36" s="100"/>
    </row>
    <row r="37" spans="1:5" ht="20.25">
      <c r="A37" s="101"/>
      <c r="B37" s="100"/>
      <c r="C37" s="100"/>
      <c r="D37" s="100"/>
      <c r="E37" s="100"/>
    </row>
    <row r="38" spans="1:5" ht="20.25">
      <c r="A38" s="101" t="s">
        <v>0</v>
      </c>
      <c r="B38" s="99"/>
      <c r="C38" s="99"/>
      <c r="D38" s="99"/>
      <c r="E38" s="99"/>
    </row>
    <row r="39" spans="1:5" ht="20.25">
      <c r="A39" s="101"/>
      <c r="B39" s="100"/>
      <c r="C39" s="100"/>
      <c r="D39" s="100"/>
      <c r="E39" s="100"/>
    </row>
    <row r="41" spans="1:5" ht="25.5">
      <c r="A41" s="121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57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36" t="s">
        <v>12</v>
      </c>
      <c r="B6" s="78"/>
      <c r="C6" s="78"/>
      <c r="D6" s="78"/>
      <c r="E6" s="312"/>
      <c r="F6" s="74"/>
    </row>
    <row r="7" spans="1:6" ht="34.5">
      <c r="A7" s="35" t="s">
        <v>13</v>
      </c>
      <c r="B7" s="80"/>
      <c r="C7" s="80"/>
      <c r="D7" s="80"/>
      <c r="E7" s="313">
        <f aca="true" t="shared" si="0" ref="E7:E12">D7-C7</f>
        <v>0</v>
      </c>
      <c r="F7" s="74"/>
    </row>
    <row r="8" spans="1:6" ht="34.5">
      <c r="A8" s="37" t="s">
        <v>14</v>
      </c>
      <c r="B8" s="82"/>
      <c r="C8" s="82"/>
      <c r="D8" s="82"/>
      <c r="E8" s="314">
        <f t="shared" si="0"/>
        <v>0</v>
      </c>
      <c r="F8" s="74"/>
    </row>
    <row r="9" spans="1:6" ht="34.5">
      <c r="A9" s="38" t="s">
        <v>15</v>
      </c>
      <c r="B9" s="82"/>
      <c r="C9" s="82"/>
      <c r="D9" s="82"/>
      <c r="E9" s="314">
        <f t="shared" si="0"/>
        <v>0</v>
      </c>
      <c r="F9" s="74"/>
    </row>
    <row r="10" spans="1:6" ht="34.5">
      <c r="A10" s="39" t="s">
        <v>16</v>
      </c>
      <c r="B10" s="82"/>
      <c r="C10" s="82"/>
      <c r="D10" s="82"/>
      <c r="E10" s="314">
        <f t="shared" si="0"/>
        <v>0</v>
      </c>
      <c r="F10" s="74"/>
    </row>
    <row r="11" spans="1:6" ht="34.5">
      <c r="A11" s="39" t="s">
        <v>17</v>
      </c>
      <c r="B11" s="82"/>
      <c r="C11" s="82"/>
      <c r="D11" s="82"/>
      <c r="E11" s="314">
        <f t="shared" si="0"/>
        <v>0</v>
      </c>
      <c r="F11" s="74"/>
    </row>
    <row r="12" spans="1:6" s="179" customFormat="1" ht="35.25">
      <c r="A12" s="40" t="s">
        <v>18</v>
      </c>
      <c r="B12" s="84">
        <f>B10+B9+B8+B7+B11</f>
        <v>0</v>
      </c>
      <c r="C12" s="84">
        <f>C10+C9+C8+C7+C11</f>
        <v>0</v>
      </c>
      <c r="D12" s="84">
        <f>D10+D9+D8+D7+D11</f>
        <v>0</v>
      </c>
      <c r="E12" s="313">
        <f t="shared" si="0"/>
        <v>0</v>
      </c>
      <c r="F12" s="107"/>
    </row>
    <row r="13" spans="1:6" ht="35.25">
      <c r="A13" s="36" t="s">
        <v>19</v>
      </c>
      <c r="B13" s="82"/>
      <c r="C13" s="82"/>
      <c r="D13" s="82"/>
      <c r="E13" s="315"/>
      <c r="F13" s="74"/>
    </row>
    <row r="14" spans="1:6" ht="35.25">
      <c r="A14" s="41" t="s">
        <v>20</v>
      </c>
      <c r="B14" s="80"/>
      <c r="C14" s="80"/>
      <c r="D14" s="80"/>
      <c r="E14" s="313"/>
      <c r="F14" s="74"/>
    </row>
    <row r="15" spans="1:6" ht="34.5">
      <c r="A15" s="35" t="s">
        <v>21</v>
      </c>
      <c r="B15" s="88">
        <v>1657539</v>
      </c>
      <c r="C15" s="88">
        <v>1666500</v>
      </c>
      <c r="D15" s="88">
        <v>1877955</v>
      </c>
      <c r="E15" s="316">
        <f>+D15-C15</f>
        <v>211455</v>
      </c>
      <c r="F15" s="86"/>
    </row>
    <row r="16" spans="1:6" ht="34.5">
      <c r="A16" s="35" t="s">
        <v>22</v>
      </c>
      <c r="B16" s="88">
        <v>10776</v>
      </c>
      <c r="C16" s="88">
        <v>11000</v>
      </c>
      <c r="D16" s="88">
        <v>12500</v>
      </c>
      <c r="E16" s="316">
        <f>+D16-C16</f>
        <v>1500</v>
      </c>
      <c r="F16" s="86"/>
    </row>
    <row r="17" spans="1:6" ht="34.5">
      <c r="A17" s="42" t="s">
        <v>23</v>
      </c>
      <c r="B17" s="88">
        <v>171594</v>
      </c>
      <c r="C17" s="88">
        <v>172000</v>
      </c>
      <c r="D17" s="88">
        <v>194000</v>
      </c>
      <c r="E17" s="316">
        <f>+D17-C17</f>
        <v>22000</v>
      </c>
      <c r="F17" s="86"/>
    </row>
    <row r="18" spans="1:6" ht="34.5">
      <c r="A18" s="42" t="s">
        <v>24</v>
      </c>
      <c r="B18" s="88">
        <v>84425</v>
      </c>
      <c r="C18" s="88">
        <v>85000</v>
      </c>
      <c r="D18" s="88">
        <v>95000</v>
      </c>
      <c r="E18" s="316">
        <f>+D18-C18</f>
        <v>10000</v>
      </c>
      <c r="F18" s="86"/>
    </row>
    <row r="19" spans="1:6" ht="34.5">
      <c r="A19" s="39" t="s">
        <v>25</v>
      </c>
      <c r="B19" s="311">
        <v>48087</v>
      </c>
      <c r="C19" s="311">
        <v>48500</v>
      </c>
      <c r="D19" s="311">
        <v>54600</v>
      </c>
      <c r="E19" s="317">
        <f>+D19-C19</f>
        <v>6100</v>
      </c>
      <c r="F19" s="86"/>
    </row>
    <row r="20" spans="1:6" ht="35.25">
      <c r="A20" s="36" t="s">
        <v>26</v>
      </c>
      <c r="B20" s="82">
        <f>SUM(B15:B19)</f>
        <v>1972421</v>
      </c>
      <c r="C20" s="82">
        <f>SUM(C15:C19)</f>
        <v>1983000</v>
      </c>
      <c r="D20" s="82">
        <f>SUM(D15:D19)</f>
        <v>2234055</v>
      </c>
      <c r="E20" s="82">
        <f>SUM(E15:E19)</f>
        <v>251055</v>
      </c>
      <c r="F20" s="86"/>
    </row>
    <row r="21" spans="1:6" ht="34.5">
      <c r="A21" s="43" t="s">
        <v>27</v>
      </c>
      <c r="B21" s="88"/>
      <c r="C21" s="88"/>
      <c r="D21" s="88"/>
      <c r="E21" s="318">
        <f>D21-C21</f>
        <v>0</v>
      </c>
      <c r="F21" s="86"/>
    </row>
    <row r="22" spans="1:6" ht="34.5">
      <c r="A22" s="42" t="s">
        <v>28</v>
      </c>
      <c r="B22" s="84"/>
      <c r="C22" s="84"/>
      <c r="D22" s="84"/>
      <c r="E22" s="314">
        <f>D22-C22</f>
        <v>0</v>
      </c>
      <c r="F22" s="86"/>
    </row>
    <row r="23" spans="1:6" ht="34.5">
      <c r="A23" s="44" t="s">
        <v>29</v>
      </c>
      <c r="B23" s="84">
        <v>0</v>
      </c>
      <c r="C23" s="84">
        <v>0</v>
      </c>
      <c r="D23" s="84">
        <v>0</v>
      </c>
      <c r="E23" s="314">
        <f>D23-C23</f>
        <v>0</v>
      </c>
      <c r="F23" s="86"/>
    </row>
    <row r="24" spans="1:6" ht="34.5">
      <c r="A24" s="38" t="s">
        <v>30</v>
      </c>
      <c r="B24" s="84"/>
      <c r="C24" s="84"/>
      <c r="D24" s="84"/>
      <c r="E24" s="314">
        <f>D24-C24</f>
        <v>0</v>
      </c>
      <c r="F24" s="86"/>
    </row>
    <row r="25" spans="1:6" s="179" customFormat="1" ht="34.5">
      <c r="A25" s="42" t="s">
        <v>31</v>
      </c>
      <c r="B25" s="84"/>
      <c r="C25" s="84"/>
      <c r="D25" s="84"/>
      <c r="E25" s="314">
        <f>D25-C25</f>
        <v>0</v>
      </c>
      <c r="F25" s="97"/>
    </row>
    <row r="26" spans="1:6" ht="34.5">
      <c r="A26" s="44" t="s">
        <v>170</v>
      </c>
      <c r="B26" s="90">
        <v>16715</v>
      </c>
      <c r="C26" s="90">
        <v>17000</v>
      </c>
      <c r="D26" s="90">
        <v>19100</v>
      </c>
      <c r="E26" s="317">
        <f>+D26-C26</f>
        <v>2100</v>
      </c>
      <c r="F26" s="86"/>
    </row>
    <row r="27" spans="1:5" ht="35.25">
      <c r="A27" s="45" t="s">
        <v>33</v>
      </c>
      <c r="B27" s="93">
        <f>SUM(B20:B26)</f>
        <v>1989136</v>
      </c>
      <c r="C27" s="93">
        <f>SUM(C20:C26)</f>
        <v>2000000</v>
      </c>
      <c r="D27" s="93">
        <f>SUM(D20:D26)</f>
        <v>2253155</v>
      </c>
      <c r="E27" s="93">
        <f>SUM(E20:E26)</f>
        <v>253155</v>
      </c>
    </row>
    <row r="28" spans="1:5" ht="35.25">
      <c r="A28" s="41" t="s">
        <v>34</v>
      </c>
      <c r="B28" s="80"/>
      <c r="C28" s="80"/>
      <c r="D28" s="80"/>
      <c r="E28" s="313"/>
    </row>
    <row r="29" spans="1:5" ht="34.5">
      <c r="A29" s="46" t="s">
        <v>35</v>
      </c>
      <c r="B29" s="80"/>
      <c r="C29" s="80"/>
      <c r="D29" s="92"/>
      <c r="E29" s="313">
        <f>D29-C29</f>
        <v>0</v>
      </c>
    </row>
    <row r="30" spans="1:5" ht="34.5">
      <c r="A30" s="37" t="s">
        <v>36</v>
      </c>
      <c r="B30" s="93"/>
      <c r="C30" s="93"/>
      <c r="D30" s="93"/>
      <c r="E30" s="314">
        <f>D30-C30</f>
        <v>0</v>
      </c>
    </row>
    <row r="31" spans="1:5" ht="35.25">
      <c r="A31" s="47" t="s">
        <v>37</v>
      </c>
      <c r="B31" s="80"/>
      <c r="C31" s="92"/>
      <c r="D31" s="92"/>
      <c r="E31" s="316"/>
    </row>
    <row r="32" spans="1:5" ht="34.5">
      <c r="A32" s="42" t="s">
        <v>38</v>
      </c>
      <c r="B32" s="80"/>
      <c r="C32" s="80"/>
      <c r="D32" s="80"/>
      <c r="E32" s="313">
        <f>D32-C32</f>
        <v>0</v>
      </c>
    </row>
    <row r="33" spans="1:5" ht="34.5">
      <c r="A33" s="37" t="s">
        <v>39</v>
      </c>
      <c r="B33" s="82"/>
      <c r="C33" s="82"/>
      <c r="D33" s="82"/>
      <c r="E33" s="320">
        <f>D33-C33</f>
        <v>0</v>
      </c>
    </row>
    <row r="34" spans="1:5" ht="35.25">
      <c r="A34" s="36" t="s">
        <v>40</v>
      </c>
      <c r="B34" s="82">
        <f>B33+B32+B30+B29</f>
        <v>0</v>
      </c>
      <c r="C34" s="82">
        <f>C33+C32+C30+C29</f>
        <v>0</v>
      </c>
      <c r="D34" s="82">
        <f>D33+D32+D30+D29</f>
        <v>0</v>
      </c>
      <c r="E34" s="321">
        <f>D34-C34</f>
        <v>0</v>
      </c>
    </row>
    <row r="35" spans="1:5" ht="36" thickBot="1">
      <c r="A35" s="48" t="s">
        <v>41</v>
      </c>
      <c r="B35" s="322">
        <f>+B12+B27+B34</f>
        <v>1989136</v>
      </c>
      <c r="C35" s="322">
        <f>+C12+C27+C34</f>
        <v>2000000</v>
      </c>
      <c r="D35" s="322">
        <f>+D12+D27+D34</f>
        <v>2253155</v>
      </c>
      <c r="E35" s="322">
        <f>+E12+E27+E34</f>
        <v>253155</v>
      </c>
    </row>
    <row r="36" spans="1:5" ht="26.25" thickTop="1">
      <c r="A36" s="122"/>
      <c r="B36" s="122"/>
      <c r="C36" s="122"/>
      <c r="D36" s="122"/>
      <c r="E36" s="122"/>
    </row>
    <row r="37" spans="1:5" ht="25.5">
      <c r="A37" s="122"/>
      <c r="B37" s="122"/>
      <c r="C37" s="122"/>
      <c r="D37" s="122"/>
      <c r="E37" s="122"/>
    </row>
    <row r="38" spans="1:5" ht="25.5">
      <c r="A38" s="122"/>
      <c r="B38" s="122"/>
      <c r="C38" s="122"/>
      <c r="D38" s="122"/>
      <c r="E38" s="122"/>
    </row>
    <row r="39" spans="1:5" ht="25.5">
      <c r="A39" s="122"/>
      <c r="B39" s="122"/>
      <c r="C39" s="122"/>
      <c r="D39" s="122"/>
      <c r="E39" s="122"/>
    </row>
    <row r="40" spans="1:5" ht="25.5">
      <c r="A40" s="122"/>
      <c r="B40" s="122"/>
      <c r="C40" s="122"/>
      <c r="D40" s="122"/>
      <c r="E40" s="122"/>
    </row>
    <row r="41" spans="1:5" ht="25.5">
      <c r="A41" s="122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58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36" t="s">
        <v>12</v>
      </c>
      <c r="B6" s="78"/>
      <c r="C6" s="78"/>
      <c r="D6" s="78"/>
      <c r="E6" s="312"/>
      <c r="F6" s="74"/>
    </row>
    <row r="7" spans="1:6" ht="34.5">
      <c r="A7" s="35" t="s">
        <v>13</v>
      </c>
      <c r="B7" s="80"/>
      <c r="C7" s="80"/>
      <c r="D7" s="80"/>
      <c r="E7" s="313"/>
      <c r="F7" s="74"/>
    </row>
    <row r="8" spans="1:6" ht="34.5">
      <c r="A8" s="37" t="s">
        <v>14</v>
      </c>
      <c r="B8" s="82"/>
      <c r="C8" s="82"/>
      <c r="D8" s="82"/>
      <c r="E8" s="314"/>
      <c r="F8" s="74"/>
    </row>
    <row r="9" spans="1:6" ht="34.5">
      <c r="A9" s="38" t="s">
        <v>15</v>
      </c>
      <c r="B9" s="82"/>
      <c r="C9" s="82"/>
      <c r="D9" s="82"/>
      <c r="E9" s="314"/>
      <c r="F9" s="74"/>
    </row>
    <row r="10" spans="1:6" ht="34.5">
      <c r="A10" s="39" t="s">
        <v>16</v>
      </c>
      <c r="B10" s="82"/>
      <c r="C10" s="82"/>
      <c r="D10" s="82"/>
      <c r="E10" s="314"/>
      <c r="F10" s="74"/>
    </row>
    <row r="11" spans="1:6" ht="34.5">
      <c r="A11" s="39" t="s">
        <v>17</v>
      </c>
      <c r="B11" s="82"/>
      <c r="C11" s="82"/>
      <c r="D11" s="82"/>
      <c r="E11" s="314"/>
      <c r="F11" s="74"/>
    </row>
    <row r="12" spans="1:6" s="179" customFormat="1" ht="35.25">
      <c r="A12" s="40" t="s">
        <v>18</v>
      </c>
      <c r="B12" s="84">
        <v>0</v>
      </c>
      <c r="C12" s="84">
        <v>0</v>
      </c>
      <c r="D12" s="84">
        <v>0</v>
      </c>
      <c r="E12" s="313">
        <v>0</v>
      </c>
      <c r="F12" s="107"/>
    </row>
    <row r="13" spans="1:6" ht="35.25">
      <c r="A13" s="36" t="s">
        <v>19</v>
      </c>
      <c r="B13" s="82"/>
      <c r="C13" s="82"/>
      <c r="D13" s="82"/>
      <c r="E13" s="315"/>
      <c r="F13" s="74"/>
    </row>
    <row r="14" spans="1:6" ht="35.25">
      <c r="A14" s="41" t="s">
        <v>20</v>
      </c>
      <c r="B14" s="80"/>
      <c r="C14" s="80"/>
      <c r="D14" s="80"/>
      <c r="E14" s="313"/>
      <c r="F14" s="74"/>
    </row>
    <row r="15" spans="1:6" ht="34.5">
      <c r="A15" s="35" t="s">
        <v>21</v>
      </c>
      <c r="B15" s="88">
        <v>1509318</v>
      </c>
      <c r="C15" s="88">
        <v>1916128</v>
      </c>
      <c r="D15" s="88">
        <v>2156271</v>
      </c>
      <c r="E15" s="316">
        <f aca="true" t="shared" si="0" ref="E15:E22">D15-C15</f>
        <v>240143</v>
      </c>
      <c r="F15" s="86"/>
    </row>
    <row r="16" spans="1:6" ht="34.5">
      <c r="A16" s="35" t="s">
        <v>22</v>
      </c>
      <c r="B16" s="88">
        <v>11937</v>
      </c>
      <c r="C16" s="88">
        <v>13883</v>
      </c>
      <c r="D16" s="88">
        <v>17054</v>
      </c>
      <c r="E16" s="316">
        <f t="shared" si="0"/>
        <v>3171</v>
      </c>
      <c r="F16" s="86"/>
    </row>
    <row r="17" spans="1:6" ht="34.5">
      <c r="A17" s="42" t="s">
        <v>23</v>
      </c>
      <c r="B17" s="88">
        <v>176807</v>
      </c>
      <c r="C17" s="88">
        <v>224169</v>
      </c>
      <c r="D17" s="88">
        <v>252593</v>
      </c>
      <c r="E17" s="316">
        <f t="shared" si="0"/>
        <v>28424</v>
      </c>
      <c r="F17" s="86"/>
    </row>
    <row r="18" spans="1:6" ht="34.5">
      <c r="A18" s="42" t="s">
        <v>24</v>
      </c>
      <c r="B18" s="88">
        <v>77091</v>
      </c>
      <c r="C18" s="88">
        <v>97835</v>
      </c>
      <c r="D18" s="88">
        <v>110135</v>
      </c>
      <c r="E18" s="316">
        <f t="shared" si="0"/>
        <v>12300</v>
      </c>
      <c r="F18" s="86"/>
    </row>
    <row r="19" spans="1:6" ht="34.5">
      <c r="A19" s="35" t="s">
        <v>171</v>
      </c>
      <c r="B19" s="311">
        <f>2587+14399+31956+1800+7613</f>
        <v>58355</v>
      </c>
      <c r="C19" s="311">
        <f>2728+18916+50039+1763+18790</f>
        <v>92236</v>
      </c>
      <c r="D19" s="311">
        <f>3696+20571+45654+2572+10876</f>
        <v>83369</v>
      </c>
      <c r="E19" s="317">
        <f t="shared" si="0"/>
        <v>-8867</v>
      </c>
      <c r="F19" s="86"/>
    </row>
    <row r="20" spans="1:6" ht="35.25">
      <c r="A20" s="36" t="s">
        <v>26</v>
      </c>
      <c r="B20" s="90">
        <f>SUM(B15:B19)</f>
        <v>1833508</v>
      </c>
      <c r="C20" s="90">
        <f>SUM(C15:C19)</f>
        <v>2344251</v>
      </c>
      <c r="D20" s="90">
        <f>SUM(D15:D19)</f>
        <v>2619422</v>
      </c>
      <c r="E20" s="317">
        <f t="shared" si="0"/>
        <v>275171</v>
      </c>
      <c r="F20" s="86"/>
    </row>
    <row r="21" spans="1:6" ht="34.5">
      <c r="A21" s="43" t="s">
        <v>27</v>
      </c>
      <c r="B21" s="88"/>
      <c r="C21" s="88"/>
      <c r="D21" s="88"/>
      <c r="E21" s="319"/>
      <c r="F21" s="74"/>
    </row>
    <row r="22" spans="1:6" ht="34.5">
      <c r="A22" s="42" t="s">
        <v>28</v>
      </c>
      <c r="B22" s="88">
        <v>149993</v>
      </c>
      <c r="C22" s="88">
        <v>243605</v>
      </c>
      <c r="D22" s="88">
        <v>214286</v>
      </c>
      <c r="E22" s="316">
        <f t="shared" si="0"/>
        <v>-29319</v>
      </c>
      <c r="F22" s="74"/>
    </row>
    <row r="23" spans="1:6" ht="34.5">
      <c r="A23" s="44" t="s">
        <v>29</v>
      </c>
      <c r="B23" s="88"/>
      <c r="C23" s="88"/>
      <c r="D23" s="88"/>
      <c r="E23" s="319"/>
      <c r="F23" s="74"/>
    </row>
    <row r="24" spans="1:6" ht="34.5">
      <c r="A24" s="38" t="s">
        <v>30</v>
      </c>
      <c r="B24" s="88"/>
      <c r="C24" s="88"/>
      <c r="D24" s="88"/>
      <c r="E24" s="319"/>
      <c r="F24" s="74"/>
    </row>
    <row r="25" spans="1:6" ht="34.5">
      <c r="A25" s="42" t="s">
        <v>31</v>
      </c>
      <c r="B25" s="88"/>
      <c r="C25" s="88"/>
      <c r="D25" s="88"/>
      <c r="E25" s="319"/>
      <c r="F25" s="100"/>
    </row>
    <row r="26" spans="1:5" ht="34.5">
      <c r="A26" s="44" t="s">
        <v>200</v>
      </c>
      <c r="B26" s="93">
        <f>6209+81249+5924+35669+952+650+124+126</f>
        <v>130903</v>
      </c>
      <c r="C26" s="93">
        <f>23331+88902+1148+225250+328+790+1641+195</f>
        <v>341585</v>
      </c>
      <c r="D26" s="93">
        <f>8870+116075+8463+50958+1360+929+177+180</f>
        <v>187012</v>
      </c>
      <c r="E26" s="93">
        <f>D26-C26</f>
        <v>-154573</v>
      </c>
    </row>
    <row r="27" spans="1:5" ht="35.25">
      <c r="A27" s="45" t="s">
        <v>33</v>
      </c>
      <c r="B27" s="93">
        <f>SUM(B21:B26)+B20</f>
        <v>2114404</v>
      </c>
      <c r="C27" s="93">
        <f>SUM(C21:C26)+C20</f>
        <v>2929441</v>
      </c>
      <c r="D27" s="93">
        <f>SUM(D21:D26)+D20</f>
        <v>3020720</v>
      </c>
      <c r="E27" s="93">
        <f>D27-C27</f>
        <v>91279</v>
      </c>
    </row>
    <row r="28" spans="1:5" ht="35.25">
      <c r="A28" s="41" t="s">
        <v>34</v>
      </c>
      <c r="B28" s="93"/>
      <c r="C28" s="93"/>
      <c r="D28" s="93"/>
      <c r="E28" s="93"/>
    </row>
    <row r="29" spans="1:5" ht="34.5">
      <c r="A29" s="46" t="s">
        <v>35</v>
      </c>
      <c r="B29" s="93"/>
      <c r="C29" s="93"/>
      <c r="D29" s="93"/>
      <c r="E29" s="93"/>
    </row>
    <row r="30" spans="1:5" ht="34.5">
      <c r="A30" s="37" t="s">
        <v>36</v>
      </c>
      <c r="B30" s="93"/>
      <c r="C30" s="93"/>
      <c r="D30" s="93"/>
      <c r="E30" s="93"/>
    </row>
    <row r="31" spans="1:5" ht="35.25">
      <c r="A31" s="47" t="s">
        <v>37</v>
      </c>
      <c r="B31" s="93"/>
      <c r="C31" s="93"/>
      <c r="D31" s="93"/>
      <c r="E31" s="93"/>
    </row>
    <row r="32" spans="1:5" ht="34.5">
      <c r="A32" s="42" t="s">
        <v>38</v>
      </c>
      <c r="B32" s="93"/>
      <c r="C32" s="93"/>
      <c r="D32" s="93"/>
      <c r="E32" s="93"/>
    </row>
    <row r="33" spans="1:5" ht="34.5">
      <c r="A33" s="37" t="s">
        <v>39</v>
      </c>
      <c r="B33" s="93"/>
      <c r="C33" s="93"/>
      <c r="D33" s="93"/>
      <c r="E33" s="93"/>
    </row>
    <row r="34" spans="1:5" ht="35.25">
      <c r="A34" s="36" t="s">
        <v>40</v>
      </c>
      <c r="B34" s="93">
        <v>0</v>
      </c>
      <c r="C34" s="93">
        <v>0</v>
      </c>
      <c r="D34" s="93">
        <v>0</v>
      </c>
      <c r="E34" s="93"/>
    </row>
    <row r="35" spans="1:5" ht="36" thickBot="1">
      <c r="A35" s="48" t="s">
        <v>41</v>
      </c>
      <c r="B35" s="93">
        <f>B34+B27+B12</f>
        <v>2114404</v>
      </c>
      <c r="C35" s="93">
        <f>C34+C27+C12</f>
        <v>2929441</v>
      </c>
      <c r="D35" s="93">
        <f>D34+D27+D12</f>
        <v>3020720</v>
      </c>
      <c r="E35" s="93">
        <f>D35-C35</f>
        <v>91279</v>
      </c>
    </row>
    <row r="36" spans="1:5" ht="26.25" thickTop="1">
      <c r="A36" s="122"/>
      <c r="B36" s="122"/>
      <c r="C36" s="122"/>
      <c r="D36" s="122"/>
      <c r="E36" s="122"/>
    </row>
    <row r="37" spans="1:5" ht="25.5">
      <c r="A37" s="122"/>
      <c r="B37" s="122"/>
      <c r="C37" s="122"/>
      <c r="D37" s="122"/>
      <c r="E37" s="122"/>
    </row>
    <row r="38" spans="1:5" ht="25.5">
      <c r="A38" s="122"/>
      <c r="B38" s="122"/>
      <c r="C38" s="122"/>
      <c r="D38" s="122"/>
      <c r="E38" s="122"/>
    </row>
    <row r="39" spans="1:5" ht="25.5">
      <c r="A39" s="122"/>
      <c r="B39" s="122"/>
      <c r="C39" s="122"/>
      <c r="D39" s="122"/>
      <c r="E39" s="122"/>
    </row>
    <row r="40" spans="1:5" ht="25.5">
      <c r="A40" s="122"/>
      <c r="B40" s="122"/>
      <c r="C40" s="122"/>
      <c r="D40" s="122"/>
      <c r="E40" s="122"/>
    </row>
    <row r="41" spans="1:5" ht="25.5">
      <c r="A41" s="122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59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s="179" customFormat="1" ht="35.25">
      <c r="A6" s="324" t="s">
        <v>12</v>
      </c>
      <c r="B6" s="323"/>
      <c r="C6" s="335"/>
      <c r="D6" s="336" t="s">
        <v>0</v>
      </c>
      <c r="E6" s="337"/>
      <c r="F6" s="107"/>
    </row>
    <row r="7" spans="1:6" ht="34.5">
      <c r="A7" s="325" t="s">
        <v>13</v>
      </c>
      <c r="B7" s="338"/>
      <c r="C7" s="339"/>
      <c r="D7" s="340"/>
      <c r="E7" s="341">
        <f>+D7-B7</f>
        <v>0</v>
      </c>
      <c r="F7" s="74"/>
    </row>
    <row r="8" spans="1:6" ht="34.5">
      <c r="A8" s="326" t="s">
        <v>14</v>
      </c>
      <c r="B8" s="342"/>
      <c r="C8" s="343"/>
      <c r="D8" s="344"/>
      <c r="E8" s="345">
        <f>+D8-B8</f>
        <v>0</v>
      </c>
      <c r="F8" s="74"/>
    </row>
    <row r="9" spans="1:6" ht="34.5">
      <c r="A9" s="325" t="s">
        <v>15</v>
      </c>
      <c r="B9" s="342"/>
      <c r="C9" s="343"/>
      <c r="D9" s="344"/>
      <c r="E9" s="346">
        <f>+D9-B9</f>
        <v>0</v>
      </c>
      <c r="F9" s="74"/>
    </row>
    <row r="10" spans="1:6" ht="34.5">
      <c r="A10" s="327" t="s">
        <v>16</v>
      </c>
      <c r="B10" s="342"/>
      <c r="C10" s="343"/>
      <c r="D10" s="344"/>
      <c r="E10" s="345">
        <f>+D10-B10</f>
        <v>0</v>
      </c>
      <c r="F10" s="74"/>
    </row>
    <row r="11" spans="1:6" ht="34.5">
      <c r="A11" s="326" t="s">
        <v>17</v>
      </c>
      <c r="B11" s="347"/>
      <c r="C11" s="348"/>
      <c r="D11" s="349"/>
      <c r="E11" s="345">
        <f>+D11-B11</f>
        <v>0</v>
      </c>
      <c r="F11" s="74"/>
    </row>
    <row r="12" spans="1:6" s="179" customFormat="1" ht="35.25">
      <c r="A12" s="328" t="s">
        <v>18</v>
      </c>
      <c r="B12" s="361">
        <f>SUM(B7:B11)</f>
        <v>0</v>
      </c>
      <c r="C12" s="362">
        <f>SUM(C7:C11)</f>
        <v>0</v>
      </c>
      <c r="D12" s="363">
        <f>SUM(D7:D11)</f>
        <v>0</v>
      </c>
      <c r="E12" s="369">
        <f>SUM(E7:E11)</f>
        <v>0</v>
      </c>
      <c r="F12" s="107"/>
    </row>
    <row r="13" spans="1:6" ht="34.5">
      <c r="A13" s="327" t="s">
        <v>19</v>
      </c>
      <c r="B13" s="342"/>
      <c r="C13" s="343"/>
      <c r="D13" s="344"/>
      <c r="E13" s="350"/>
      <c r="F13" s="74"/>
    </row>
    <row r="14" spans="1:6" ht="34.5">
      <c r="A14" s="325" t="s">
        <v>20</v>
      </c>
      <c r="B14" s="338"/>
      <c r="C14" s="339"/>
      <c r="D14" s="340"/>
      <c r="E14" s="346"/>
      <c r="F14" s="74"/>
    </row>
    <row r="15" spans="1:6" ht="34.5">
      <c r="A15" s="325" t="s">
        <v>21</v>
      </c>
      <c r="B15" s="338">
        <v>20442011</v>
      </c>
      <c r="C15" s="339">
        <v>20901446</v>
      </c>
      <c r="D15" s="340">
        <v>21401446</v>
      </c>
      <c r="E15" s="341">
        <f>+D15-C15</f>
        <v>500000</v>
      </c>
      <c r="F15" s="86"/>
    </row>
    <row r="16" spans="1:6" ht="34.5">
      <c r="A16" s="326" t="s">
        <v>22</v>
      </c>
      <c r="B16" s="342">
        <v>1554331</v>
      </c>
      <c r="C16" s="343">
        <v>1308570</v>
      </c>
      <c r="D16" s="344">
        <v>1508570</v>
      </c>
      <c r="E16" s="341">
        <f aca="true" t="shared" si="0" ref="E16:E27">+D16-C16</f>
        <v>200000</v>
      </c>
      <c r="F16" s="86"/>
    </row>
    <row r="17" spans="1:6" ht="34.5">
      <c r="A17" s="329" t="s">
        <v>23</v>
      </c>
      <c r="B17" s="342">
        <v>1917017</v>
      </c>
      <c r="C17" s="343">
        <v>2119129</v>
      </c>
      <c r="D17" s="344">
        <v>2044129</v>
      </c>
      <c r="E17" s="341">
        <f t="shared" si="0"/>
        <v>-75000</v>
      </c>
      <c r="F17" s="86"/>
    </row>
    <row r="18" spans="1:6" ht="34.5">
      <c r="A18" s="325" t="s">
        <v>24</v>
      </c>
      <c r="B18" s="342">
        <v>644345</v>
      </c>
      <c r="C18" s="343">
        <v>674662</v>
      </c>
      <c r="D18" s="344">
        <v>650837</v>
      </c>
      <c r="E18" s="341">
        <f t="shared" si="0"/>
        <v>-23825</v>
      </c>
      <c r="F18" s="86"/>
    </row>
    <row r="19" spans="1:6" ht="34.5">
      <c r="A19" s="327" t="s">
        <v>25</v>
      </c>
      <c r="B19" s="342">
        <v>315334</v>
      </c>
      <c r="C19" s="343">
        <v>301296</v>
      </c>
      <c r="D19" s="344">
        <v>326296</v>
      </c>
      <c r="E19" s="341">
        <v>-5000</v>
      </c>
      <c r="F19" s="86"/>
    </row>
    <row r="20" spans="1:6" s="179" customFormat="1" ht="35.25">
      <c r="A20" s="324" t="s">
        <v>26</v>
      </c>
      <c r="B20" s="342">
        <f>SUM(B15:B19)</f>
        <v>24873038</v>
      </c>
      <c r="C20" s="343">
        <f>SUM(C15:C19)</f>
        <v>25305103</v>
      </c>
      <c r="D20" s="344">
        <f>SUM(D15:D19)</f>
        <v>25931278</v>
      </c>
      <c r="E20" s="341">
        <f t="shared" si="0"/>
        <v>626175</v>
      </c>
      <c r="F20" s="97"/>
    </row>
    <row r="21" spans="1:6" s="179" customFormat="1" ht="34.5">
      <c r="A21" s="329" t="s">
        <v>27</v>
      </c>
      <c r="B21" s="338"/>
      <c r="C21" s="339"/>
      <c r="D21" s="340"/>
      <c r="E21" s="341">
        <f t="shared" si="0"/>
        <v>0</v>
      </c>
      <c r="F21" s="97"/>
    </row>
    <row r="22" spans="1:6" ht="34.5">
      <c r="A22" s="325" t="s">
        <v>28</v>
      </c>
      <c r="B22" s="342">
        <v>0</v>
      </c>
      <c r="C22" s="343">
        <v>10000</v>
      </c>
      <c r="D22" s="344">
        <v>10000</v>
      </c>
      <c r="E22" s="341">
        <f t="shared" si="0"/>
        <v>0</v>
      </c>
      <c r="F22" s="86"/>
    </row>
    <row r="23" spans="1:6" ht="34.5">
      <c r="A23" s="326" t="s">
        <v>29</v>
      </c>
      <c r="B23" s="342"/>
      <c r="C23" s="343"/>
      <c r="D23" s="344"/>
      <c r="E23" s="341" t="s">
        <v>0</v>
      </c>
      <c r="F23" s="86"/>
    </row>
    <row r="24" spans="1:6" ht="34.5">
      <c r="A24" s="330" t="s">
        <v>30</v>
      </c>
      <c r="B24" s="342"/>
      <c r="C24" s="343"/>
      <c r="D24" s="344"/>
      <c r="E24" s="341" t="s">
        <v>0</v>
      </c>
      <c r="F24" s="86"/>
    </row>
    <row r="25" spans="1:6" ht="34.5">
      <c r="A25" s="325" t="s">
        <v>31</v>
      </c>
      <c r="B25" s="342"/>
      <c r="C25" s="343"/>
      <c r="D25" s="344"/>
      <c r="E25" s="341" t="s">
        <v>0</v>
      </c>
      <c r="F25" s="86"/>
    </row>
    <row r="26" spans="1:6" ht="34.5">
      <c r="A26" s="330" t="s">
        <v>32</v>
      </c>
      <c r="B26" s="351">
        <v>2019400</v>
      </c>
      <c r="C26" s="352">
        <v>2026500</v>
      </c>
      <c r="D26" s="353">
        <v>2441500</v>
      </c>
      <c r="E26" s="341">
        <v>1086500</v>
      </c>
      <c r="F26" s="86"/>
    </row>
    <row r="27" spans="1:5" s="179" customFormat="1" ht="35.25">
      <c r="A27" s="331" t="s">
        <v>172</v>
      </c>
      <c r="B27" s="357">
        <f>SUM(B20:B26)</f>
        <v>26892438</v>
      </c>
      <c r="C27" s="358">
        <f>SUM(C20:C26)</f>
        <v>27341603</v>
      </c>
      <c r="D27" s="359">
        <f>SUM(D20:D26)</f>
        <v>28382778</v>
      </c>
      <c r="E27" s="360">
        <f t="shared" si="0"/>
        <v>1041175</v>
      </c>
    </row>
    <row r="28" spans="1:5" ht="34.5">
      <c r="A28" s="325" t="s">
        <v>34</v>
      </c>
      <c r="B28" s="338"/>
      <c r="C28" s="339"/>
      <c r="D28" s="340"/>
      <c r="E28" s="346" t="s">
        <v>0</v>
      </c>
    </row>
    <row r="29" spans="1:5" ht="34.5">
      <c r="A29" s="332" t="s">
        <v>35</v>
      </c>
      <c r="B29" s="338"/>
      <c r="C29" s="354"/>
      <c r="D29" s="355"/>
      <c r="E29" s="346"/>
    </row>
    <row r="30" spans="1:5" ht="34.5">
      <c r="A30" s="327" t="s">
        <v>36</v>
      </c>
      <c r="B30" s="347"/>
      <c r="C30" s="348" t="s">
        <v>0</v>
      </c>
      <c r="D30" s="349" t="s">
        <v>0</v>
      </c>
      <c r="E30" s="356"/>
    </row>
    <row r="31" spans="1:5" ht="34.5">
      <c r="A31" s="333" t="s">
        <v>37</v>
      </c>
      <c r="B31" s="338"/>
      <c r="C31" s="354"/>
      <c r="D31" s="355"/>
      <c r="E31" s="346"/>
    </row>
    <row r="32" spans="1:5" ht="34.5">
      <c r="A32" s="325" t="s">
        <v>38</v>
      </c>
      <c r="B32" s="338"/>
      <c r="C32" s="339"/>
      <c r="D32" s="340"/>
      <c r="E32" s="346"/>
    </row>
    <row r="33" spans="1:5" ht="34.5">
      <c r="A33" s="327" t="s">
        <v>39</v>
      </c>
      <c r="B33" s="342"/>
      <c r="C33" s="343"/>
      <c r="D33" s="344"/>
      <c r="E33" s="350"/>
    </row>
    <row r="34" spans="1:5" s="179" customFormat="1" ht="35.25">
      <c r="A34" s="324" t="s">
        <v>40</v>
      </c>
      <c r="B34" s="361"/>
      <c r="C34" s="362"/>
      <c r="D34" s="363"/>
      <c r="E34" s="364"/>
    </row>
    <row r="35" spans="1:5" s="179" customFormat="1" ht="36" thickBot="1">
      <c r="A35" s="334" t="s">
        <v>173</v>
      </c>
      <c r="B35" s="365">
        <f>SUM(B27:B33)</f>
        <v>26892438</v>
      </c>
      <c r="C35" s="366">
        <f>SUM(C27:C33)</f>
        <v>27341603</v>
      </c>
      <c r="D35" s="367">
        <f>SUM(D27:D33)</f>
        <v>28382778</v>
      </c>
      <c r="E35" s="368">
        <f>+D35-C35</f>
        <v>1041175</v>
      </c>
    </row>
    <row r="36" spans="1:5" ht="25.5">
      <c r="A36" s="122"/>
      <c r="B36" s="122"/>
      <c r="C36" s="122"/>
      <c r="D36" s="122"/>
      <c r="E36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30" zoomScaleNormal="30" zoomScalePageLayoutView="0" workbookViewId="0" topLeftCell="A4">
      <selection activeCell="D28" sqref="D28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60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s="179" customFormat="1" ht="35.25">
      <c r="A6" s="370" t="s">
        <v>12</v>
      </c>
      <c r="B6" s="388"/>
      <c r="C6" s="388"/>
      <c r="D6" s="388"/>
      <c r="E6" s="389"/>
      <c r="F6" s="107"/>
    </row>
    <row r="7" spans="1:6" ht="34.5">
      <c r="A7" s="371" t="s">
        <v>13</v>
      </c>
      <c r="B7" s="390"/>
      <c r="C7" s="390"/>
      <c r="D7" s="390"/>
      <c r="E7" s="391">
        <f aca="true" t="shared" si="0" ref="E7:E12">D7-C7</f>
        <v>0</v>
      </c>
      <c r="F7" s="74"/>
    </row>
    <row r="8" spans="1:6" ht="34.5">
      <c r="A8" s="372" t="s">
        <v>14</v>
      </c>
      <c r="B8" s="392"/>
      <c r="C8" s="392"/>
      <c r="D8" s="392"/>
      <c r="E8" s="393">
        <f t="shared" si="0"/>
        <v>0</v>
      </c>
      <c r="F8" s="74"/>
    </row>
    <row r="9" spans="1:6" ht="34.5">
      <c r="A9" s="373" t="s">
        <v>15</v>
      </c>
      <c r="B9" s="392"/>
      <c r="C9" s="392"/>
      <c r="D9" s="392"/>
      <c r="E9" s="393">
        <f t="shared" si="0"/>
        <v>0</v>
      </c>
      <c r="F9" s="74"/>
    </row>
    <row r="10" spans="1:6" ht="34.5">
      <c r="A10" s="374" t="s">
        <v>16</v>
      </c>
      <c r="B10" s="392"/>
      <c r="C10" s="392"/>
      <c r="D10" s="392"/>
      <c r="E10" s="393">
        <f t="shared" si="0"/>
        <v>0</v>
      </c>
      <c r="F10" s="74"/>
    </row>
    <row r="11" spans="1:6" ht="34.5">
      <c r="A11" s="374" t="s">
        <v>17</v>
      </c>
      <c r="B11" s="392"/>
      <c r="C11" s="392"/>
      <c r="D11" s="392"/>
      <c r="E11" s="393">
        <f t="shared" si="0"/>
        <v>0</v>
      </c>
      <c r="F11" s="74"/>
    </row>
    <row r="12" spans="1:6" s="179" customFormat="1" ht="35.25">
      <c r="A12" s="375" t="s">
        <v>18</v>
      </c>
      <c r="B12" s="400">
        <f>B10+B9+B8+B7+B11</f>
        <v>0</v>
      </c>
      <c r="C12" s="400">
        <f>C10+C9+C8+C7+C11</f>
        <v>0</v>
      </c>
      <c r="D12" s="400">
        <f>D10+D9+D8+D7+D11</f>
        <v>0</v>
      </c>
      <c r="E12" s="401">
        <f t="shared" si="0"/>
        <v>0</v>
      </c>
      <c r="F12" s="107"/>
    </row>
    <row r="13" spans="1:6" ht="35.25">
      <c r="A13" s="384" t="s">
        <v>19</v>
      </c>
      <c r="B13" s="397"/>
      <c r="C13" s="397"/>
      <c r="D13" s="397"/>
      <c r="E13" s="397"/>
      <c r="F13" s="74"/>
    </row>
    <row r="14" spans="1:6" ht="35.25">
      <c r="A14" s="386" t="s">
        <v>20</v>
      </c>
      <c r="B14" s="397"/>
      <c r="C14" s="397"/>
      <c r="D14" s="397"/>
      <c r="E14" s="397"/>
      <c r="F14" s="74"/>
    </row>
    <row r="15" spans="1:6" ht="34.5">
      <c r="A15" s="385" t="s">
        <v>21</v>
      </c>
      <c r="B15" s="398">
        <v>1586408</v>
      </c>
      <c r="C15" s="398">
        <v>1454000</v>
      </c>
      <c r="D15" s="398">
        <v>1579715</v>
      </c>
      <c r="E15" s="398">
        <f>D15-C15</f>
        <v>125715</v>
      </c>
      <c r="F15" s="86"/>
    </row>
    <row r="16" spans="1:6" ht="34.5">
      <c r="A16" s="385" t="s">
        <v>22</v>
      </c>
      <c r="B16" s="397">
        <v>52807</v>
      </c>
      <c r="C16" s="397">
        <v>38000</v>
      </c>
      <c r="D16" s="397">
        <v>10000</v>
      </c>
      <c r="E16" s="397">
        <f>D16-C16</f>
        <v>-28000</v>
      </c>
      <c r="F16" s="86"/>
    </row>
    <row r="17" spans="1:6" ht="34.5">
      <c r="A17" s="387" t="s">
        <v>23</v>
      </c>
      <c r="B17" s="397">
        <v>178455</v>
      </c>
      <c r="C17" s="397">
        <v>148000</v>
      </c>
      <c r="D17" s="397">
        <v>20000</v>
      </c>
      <c r="E17" s="397">
        <f>D17-C17</f>
        <v>-128000</v>
      </c>
      <c r="F17" s="86"/>
    </row>
    <row r="18" spans="1:6" ht="34.5">
      <c r="A18" s="387" t="s">
        <v>24</v>
      </c>
      <c r="B18" s="397">
        <v>24516</v>
      </c>
      <c r="C18" s="397">
        <v>20000</v>
      </c>
      <c r="D18" s="397">
        <v>25000</v>
      </c>
      <c r="E18" s="397">
        <f>D18-C18</f>
        <v>5000</v>
      </c>
      <c r="F18" s="86"/>
    </row>
    <row r="19" spans="1:6" ht="34.5">
      <c r="A19" s="385" t="s">
        <v>25</v>
      </c>
      <c r="B19" s="397">
        <v>67267</v>
      </c>
      <c r="C19" s="397">
        <v>140000</v>
      </c>
      <c r="D19" s="397">
        <v>40000</v>
      </c>
      <c r="E19" s="397">
        <f>D19-C19</f>
        <v>-100000</v>
      </c>
      <c r="F19" s="86"/>
    </row>
    <row r="20" spans="1:6" s="179" customFormat="1" ht="35.25">
      <c r="A20" s="384" t="s">
        <v>26</v>
      </c>
      <c r="B20" s="399">
        <f>B19+B18+B17+B16+B15</f>
        <v>1909453</v>
      </c>
      <c r="C20" s="399">
        <f>C19+C18+C17+C16+C15</f>
        <v>1800000</v>
      </c>
      <c r="D20" s="399">
        <f>D19+D18+D17+D16+D15</f>
        <v>1674715</v>
      </c>
      <c r="E20" s="399">
        <f>E19+E18+E17+E16+E15</f>
        <v>-125285</v>
      </c>
      <c r="F20" s="97"/>
    </row>
    <row r="21" spans="1:6" ht="34.5">
      <c r="A21" s="378" t="s">
        <v>27</v>
      </c>
      <c r="B21" s="390"/>
      <c r="C21" s="390"/>
      <c r="D21" s="390"/>
      <c r="E21" s="391">
        <f aca="true" t="shared" si="1" ref="E21:E26">D21-C21</f>
        <v>0</v>
      </c>
      <c r="F21" s="86"/>
    </row>
    <row r="22" spans="1:6" s="179" customFormat="1" ht="34.5">
      <c r="A22" s="377" t="s">
        <v>28</v>
      </c>
      <c r="B22" s="392"/>
      <c r="C22" s="392"/>
      <c r="D22" s="392"/>
      <c r="E22" s="393">
        <f t="shared" si="1"/>
        <v>0</v>
      </c>
      <c r="F22" s="97"/>
    </row>
    <row r="23" spans="1:6" s="179" customFormat="1" ht="34.5">
      <c r="A23" s="379" t="s">
        <v>29</v>
      </c>
      <c r="B23" s="392"/>
      <c r="C23" s="392"/>
      <c r="D23" s="392"/>
      <c r="E23" s="393">
        <f t="shared" si="1"/>
        <v>0</v>
      </c>
      <c r="F23" s="97"/>
    </row>
    <row r="24" spans="1:6" ht="34.5">
      <c r="A24" s="373" t="s">
        <v>30</v>
      </c>
      <c r="B24" s="392"/>
      <c r="C24" s="392"/>
      <c r="D24" s="392"/>
      <c r="E24" s="393">
        <f t="shared" si="1"/>
        <v>0</v>
      </c>
      <c r="F24" s="86"/>
    </row>
    <row r="25" spans="1:6" ht="34.5">
      <c r="A25" s="377" t="s">
        <v>31</v>
      </c>
      <c r="B25" s="392"/>
      <c r="C25" s="392"/>
      <c r="D25" s="392"/>
      <c r="E25" s="393">
        <f t="shared" si="1"/>
        <v>0</v>
      </c>
      <c r="F25" s="86"/>
    </row>
    <row r="26" spans="1:6" ht="34.5">
      <c r="A26" s="379" t="s">
        <v>32</v>
      </c>
      <c r="B26" s="392"/>
      <c r="C26" s="392"/>
      <c r="D26" s="392">
        <v>0</v>
      </c>
      <c r="E26" s="393">
        <f t="shared" si="1"/>
        <v>0</v>
      </c>
      <c r="F26" s="86"/>
    </row>
    <row r="27" spans="1:6" ht="35.25">
      <c r="A27" s="380" t="s">
        <v>33</v>
      </c>
      <c r="B27" s="394">
        <f>B26+B25+B24+B23+B22+B21+B20</f>
        <v>1909453</v>
      </c>
      <c r="C27" s="394">
        <f>C26+C25+C24+C23+C22+C21+C20</f>
        <v>1800000</v>
      </c>
      <c r="D27" s="394">
        <f>D26+D25+D24+D23+D22+D21+D20</f>
        <v>1674715</v>
      </c>
      <c r="E27" s="399">
        <f>E26+E25+E24+E23+E22+E20+E21</f>
        <v>-125285</v>
      </c>
      <c r="F27" s="86" t="s">
        <v>0</v>
      </c>
    </row>
    <row r="28" spans="1:6" ht="35.25">
      <c r="A28" s="376" t="s">
        <v>34</v>
      </c>
      <c r="B28" s="390"/>
      <c r="C28" s="390"/>
      <c r="D28" s="390"/>
      <c r="E28" s="391"/>
      <c r="F28" s="86"/>
    </row>
    <row r="29" spans="1:6" ht="34.5">
      <c r="A29" s="381" t="s">
        <v>35</v>
      </c>
      <c r="B29" s="390"/>
      <c r="C29" s="390"/>
      <c r="D29" s="395"/>
      <c r="E29" s="391">
        <f>D29-C29</f>
        <v>0</v>
      </c>
      <c r="F29" s="86"/>
    </row>
    <row r="30" spans="1:6" s="179" customFormat="1" ht="34.5">
      <c r="A30" s="372" t="s">
        <v>36</v>
      </c>
      <c r="B30" s="394"/>
      <c r="C30" s="394"/>
      <c r="D30" s="394"/>
      <c r="E30" s="396">
        <f>D30-C30</f>
        <v>0</v>
      </c>
      <c r="F30" s="97"/>
    </row>
    <row r="31" spans="1:6" ht="35.25">
      <c r="A31" s="382" t="s">
        <v>37</v>
      </c>
      <c r="B31" s="390"/>
      <c r="C31" s="395"/>
      <c r="D31" s="395"/>
      <c r="E31" s="390"/>
      <c r="F31" s="86"/>
    </row>
    <row r="32" spans="1:6" ht="34.5">
      <c r="A32" s="377" t="s">
        <v>38</v>
      </c>
      <c r="B32" s="390"/>
      <c r="C32" s="390"/>
      <c r="D32" s="390"/>
      <c r="E32" s="391">
        <f>D32-C32</f>
        <v>0</v>
      </c>
      <c r="F32" s="74"/>
    </row>
    <row r="33" spans="1:6" ht="34.5">
      <c r="A33" s="372" t="s">
        <v>39</v>
      </c>
      <c r="B33" s="392"/>
      <c r="C33" s="392"/>
      <c r="D33" s="392"/>
      <c r="E33" s="393">
        <f>D33-C33</f>
        <v>0</v>
      </c>
      <c r="F33" s="74"/>
    </row>
    <row r="34" spans="1:6" s="179" customFormat="1" ht="35.25">
      <c r="A34" s="370" t="s">
        <v>40</v>
      </c>
      <c r="B34" s="400">
        <f>B33+B32+B30+B29</f>
        <v>0</v>
      </c>
      <c r="C34" s="400">
        <f>C33+C32+C30+C29</f>
        <v>0</v>
      </c>
      <c r="D34" s="400">
        <f>D33+D32+D30+D29</f>
        <v>0</v>
      </c>
      <c r="E34" s="401">
        <f>D34-C34</f>
        <v>0</v>
      </c>
      <c r="F34" s="107"/>
    </row>
    <row r="35" spans="1:6" s="179" customFormat="1" ht="36" thickBot="1">
      <c r="A35" s="383" t="s">
        <v>41</v>
      </c>
      <c r="B35" s="402">
        <f>B12+B27+B34</f>
        <v>1909453</v>
      </c>
      <c r="C35" s="402">
        <f>C12+C27+C34</f>
        <v>1800000</v>
      </c>
      <c r="D35" s="402">
        <f>D12+D27+D34</f>
        <v>1674715</v>
      </c>
      <c r="E35" s="403">
        <f>D35-C35</f>
        <v>-125285</v>
      </c>
      <c r="F35" s="107"/>
    </row>
    <row r="36" ht="15.75" thickTop="1"/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30" zoomScaleNormal="30" zoomScalePageLayoutView="0" workbookViewId="0" topLeftCell="A10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61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6" thickBot="1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s="179" customFormat="1" ht="35.25">
      <c r="A6" s="127" t="s">
        <v>12</v>
      </c>
      <c r="B6" s="404"/>
      <c r="C6" s="405"/>
      <c r="D6" s="405"/>
      <c r="E6" s="406"/>
      <c r="F6" s="107"/>
    </row>
    <row r="7" spans="1:6" ht="34.5">
      <c r="A7" s="129" t="s">
        <v>13</v>
      </c>
      <c r="B7" s="80"/>
      <c r="C7" s="80"/>
      <c r="D7" s="80"/>
      <c r="E7" s="81">
        <f aca="true" t="shared" si="0" ref="E7:E12">D7-C7</f>
        <v>0</v>
      </c>
      <c r="F7" s="74"/>
    </row>
    <row r="8" spans="1:6" ht="34.5">
      <c r="A8" s="132" t="s">
        <v>14</v>
      </c>
      <c r="B8" s="82"/>
      <c r="C8" s="82"/>
      <c r="D8" s="82"/>
      <c r="E8" s="83">
        <f t="shared" si="0"/>
        <v>0</v>
      </c>
      <c r="F8" s="74"/>
    </row>
    <row r="9" spans="1:6" ht="34.5">
      <c r="A9" s="133" t="s">
        <v>15</v>
      </c>
      <c r="B9" s="82"/>
      <c r="C9" s="82"/>
      <c r="D9" s="82"/>
      <c r="E9" s="83">
        <f t="shared" si="0"/>
        <v>0</v>
      </c>
      <c r="F9" s="74"/>
    </row>
    <row r="10" spans="1:6" ht="34.5">
      <c r="A10" s="134" t="s">
        <v>16</v>
      </c>
      <c r="B10" s="82"/>
      <c r="C10" s="82"/>
      <c r="D10" s="82"/>
      <c r="E10" s="83">
        <f t="shared" si="0"/>
        <v>0</v>
      </c>
      <c r="F10" s="74"/>
    </row>
    <row r="11" spans="1:6" ht="34.5">
      <c r="A11" s="134" t="s">
        <v>17</v>
      </c>
      <c r="B11" s="82"/>
      <c r="C11" s="82"/>
      <c r="D11" s="82"/>
      <c r="E11" s="83">
        <f t="shared" si="0"/>
        <v>0</v>
      </c>
      <c r="F11" s="74"/>
    </row>
    <row r="12" spans="1:6" s="179" customFormat="1" ht="35.25">
      <c r="A12" s="135" t="s">
        <v>18</v>
      </c>
      <c r="B12" s="84">
        <f>B10+B9+B8+B7+B11</f>
        <v>0</v>
      </c>
      <c r="C12" s="84">
        <f>C10+C9+C8+C7+C11</f>
        <v>0</v>
      </c>
      <c r="D12" s="84">
        <f>D10+D9+D8+D7+D11</f>
        <v>0</v>
      </c>
      <c r="E12" s="83">
        <f t="shared" si="0"/>
        <v>0</v>
      </c>
      <c r="F12" s="107"/>
    </row>
    <row r="13" spans="1:6" ht="35.25">
      <c r="A13" s="127" t="s">
        <v>19</v>
      </c>
      <c r="B13" s="82"/>
      <c r="C13" s="82"/>
      <c r="D13" s="82"/>
      <c r="E13" s="85"/>
      <c r="F13" s="74"/>
    </row>
    <row r="14" spans="1:6" ht="35.25">
      <c r="A14" s="128" t="s">
        <v>20</v>
      </c>
      <c r="B14" s="80"/>
      <c r="C14" s="80"/>
      <c r="D14" s="80"/>
      <c r="E14" s="87"/>
      <c r="F14" s="74"/>
    </row>
    <row r="15" spans="1:6" ht="34.5">
      <c r="A15" s="129" t="s">
        <v>21</v>
      </c>
      <c r="B15" s="88">
        <v>2126853</v>
      </c>
      <c r="C15" s="88">
        <v>2428064</v>
      </c>
      <c r="D15" s="88">
        <v>2542223</v>
      </c>
      <c r="E15" s="88">
        <f>D15-C15</f>
        <v>114159</v>
      </c>
      <c r="F15" s="86"/>
    </row>
    <row r="16" spans="1:6" ht="34.5">
      <c r="A16" s="129" t="s">
        <v>22</v>
      </c>
      <c r="B16" s="88"/>
      <c r="C16" s="88"/>
      <c r="D16" s="88"/>
      <c r="E16" s="88">
        <f>D16-C16</f>
        <v>0</v>
      </c>
      <c r="F16" s="86"/>
    </row>
    <row r="17" spans="1:6" ht="34.5">
      <c r="A17" s="130" t="s">
        <v>23</v>
      </c>
      <c r="B17" s="88">
        <v>250821</v>
      </c>
      <c r="C17" s="88">
        <v>293620</v>
      </c>
      <c r="D17" s="88">
        <v>293620</v>
      </c>
      <c r="E17" s="88">
        <f>D17-C17</f>
        <v>0</v>
      </c>
      <c r="F17" s="86"/>
    </row>
    <row r="18" spans="1:6" ht="34.5">
      <c r="A18" s="130" t="s">
        <v>24</v>
      </c>
      <c r="B18" s="88">
        <v>35879</v>
      </c>
      <c r="C18" s="88">
        <v>42240</v>
      </c>
      <c r="D18" s="88">
        <v>42240</v>
      </c>
      <c r="E18" s="88">
        <f>D18-C18</f>
        <v>0</v>
      </c>
      <c r="F18" s="86"/>
    </row>
    <row r="19" spans="1:6" ht="34.5">
      <c r="A19" s="129" t="s">
        <v>25</v>
      </c>
      <c r="B19" s="88">
        <v>107252</v>
      </c>
      <c r="C19" s="88">
        <v>124091</v>
      </c>
      <c r="D19" s="88">
        <v>126157</v>
      </c>
      <c r="E19" s="88">
        <f>D19-C19</f>
        <v>2066</v>
      </c>
      <c r="F19" s="86"/>
    </row>
    <row r="20" spans="1:6" ht="35.25">
      <c r="A20" s="127" t="s">
        <v>26</v>
      </c>
      <c r="B20" s="734">
        <f>B19+B18+B17+B16+B15</f>
        <v>2520805</v>
      </c>
      <c r="C20" s="734">
        <f>C19+C18+C17+C16+C15</f>
        <v>2888015</v>
      </c>
      <c r="D20" s="734">
        <f>D19+D18+D17+D16+D15</f>
        <v>3004240</v>
      </c>
      <c r="E20" s="734">
        <f>E19+E18+E17+E16+E15</f>
        <v>116225</v>
      </c>
      <c r="F20" s="86"/>
    </row>
    <row r="21" spans="1:6" ht="34.5">
      <c r="A21" s="136" t="s">
        <v>27</v>
      </c>
      <c r="B21" s="80"/>
      <c r="C21" s="80"/>
      <c r="D21" s="80"/>
      <c r="E21" s="81">
        <f aca="true" t="shared" si="1" ref="E21:E26">D21-C21</f>
        <v>0</v>
      </c>
      <c r="F21" s="86"/>
    </row>
    <row r="22" spans="1:6" ht="34.5">
      <c r="A22" s="130" t="s">
        <v>28</v>
      </c>
      <c r="B22" s="84">
        <f>4175+787.16+3330+25507.51+12988.99</f>
        <v>46788.659999999996</v>
      </c>
      <c r="C22" s="84">
        <f>50416</f>
        <v>50416</v>
      </c>
      <c r="D22" s="84">
        <v>50416</v>
      </c>
      <c r="E22" s="89">
        <f t="shared" si="1"/>
        <v>0</v>
      </c>
      <c r="F22" s="86"/>
    </row>
    <row r="23" spans="1:6" s="179" customFormat="1" ht="34.5">
      <c r="A23" s="120" t="s">
        <v>29</v>
      </c>
      <c r="B23" s="84"/>
      <c r="C23" s="84"/>
      <c r="D23" s="82"/>
      <c r="E23" s="89">
        <f t="shared" si="1"/>
        <v>0</v>
      </c>
      <c r="F23" s="97"/>
    </row>
    <row r="24" spans="1:6" ht="34.5">
      <c r="A24" s="133" t="s">
        <v>30</v>
      </c>
      <c r="B24" s="82"/>
      <c r="C24" s="84"/>
      <c r="D24" s="82"/>
      <c r="E24" s="89">
        <f t="shared" si="1"/>
        <v>0</v>
      </c>
      <c r="F24" s="86"/>
    </row>
    <row r="25" spans="1:6" ht="34.5">
      <c r="A25" s="130" t="s">
        <v>31</v>
      </c>
      <c r="B25" s="82"/>
      <c r="C25" s="84"/>
      <c r="D25" s="82"/>
      <c r="E25" s="89">
        <f t="shared" si="1"/>
        <v>0</v>
      </c>
      <c r="F25" s="74"/>
    </row>
    <row r="26" spans="1:6" ht="34.5">
      <c r="A26" s="120" t="s">
        <v>32</v>
      </c>
      <c r="B26" s="84">
        <v>46501</v>
      </c>
      <c r="C26" s="84">
        <v>52549</v>
      </c>
      <c r="D26" s="84">
        <v>48288</v>
      </c>
      <c r="E26" s="89">
        <f t="shared" si="1"/>
        <v>-4261</v>
      </c>
      <c r="F26" s="74"/>
    </row>
    <row r="27" spans="1:6" s="179" customFormat="1" ht="35.25">
      <c r="A27" s="137" t="s">
        <v>33</v>
      </c>
      <c r="B27" s="732">
        <f>B26+B25+B24+B23+B22+B21+B20</f>
        <v>2614094.66</v>
      </c>
      <c r="C27" s="732">
        <f>C26+C25+C24+C23+C22+C21+C20</f>
        <v>2990980</v>
      </c>
      <c r="D27" s="732">
        <f>D26+D25+D24+D23+D22+D21+D20</f>
        <v>3102944</v>
      </c>
      <c r="E27" s="733">
        <f>E26+E25+E24+E23+E22+E21</f>
        <v>-4261</v>
      </c>
      <c r="F27" s="107"/>
    </row>
    <row r="28" spans="1:6" s="179" customFormat="1" ht="35.25">
      <c r="A28" s="128" t="s">
        <v>34</v>
      </c>
      <c r="B28" s="80"/>
      <c r="C28" s="80"/>
      <c r="D28" s="80"/>
      <c r="E28" s="87"/>
      <c r="F28" s="107"/>
    </row>
    <row r="29" spans="1:5" ht="34.5">
      <c r="A29" s="138" t="s">
        <v>35</v>
      </c>
      <c r="B29" s="80"/>
      <c r="C29" s="80"/>
      <c r="D29" s="92"/>
      <c r="E29" s="81">
        <f>D29-C29</f>
        <v>0</v>
      </c>
    </row>
    <row r="30" spans="1:5" ht="34.5">
      <c r="A30" s="132" t="s">
        <v>36</v>
      </c>
      <c r="B30" s="93"/>
      <c r="C30" s="93"/>
      <c r="D30" s="93"/>
      <c r="E30" s="94">
        <f>D30-C30</f>
        <v>0</v>
      </c>
    </row>
    <row r="31" spans="1:5" ht="35.25">
      <c r="A31" s="139" t="s">
        <v>37</v>
      </c>
      <c r="B31" s="80"/>
      <c r="C31" s="92"/>
      <c r="D31" s="92"/>
      <c r="E31" s="80"/>
    </row>
    <row r="32" spans="1:5" ht="34.5">
      <c r="A32" s="130" t="s">
        <v>38</v>
      </c>
      <c r="B32" s="80"/>
      <c r="C32" s="80"/>
      <c r="D32" s="80"/>
      <c r="E32" s="81">
        <f>D32-C32</f>
        <v>0</v>
      </c>
    </row>
    <row r="33" spans="1:5" ht="34.5">
      <c r="A33" s="132" t="s">
        <v>39</v>
      </c>
      <c r="B33" s="82"/>
      <c r="C33" s="82"/>
      <c r="D33" s="82"/>
      <c r="E33" s="89">
        <f>D33-C33</f>
        <v>0</v>
      </c>
    </row>
    <row r="34" spans="1:5" ht="35.25">
      <c r="A34" s="127" t="s">
        <v>40</v>
      </c>
      <c r="B34" s="84">
        <f>B33+B32+B30+B29</f>
        <v>0</v>
      </c>
      <c r="C34" s="84">
        <f>C33+C32+C30+C29</f>
        <v>0</v>
      </c>
      <c r="D34" s="84">
        <f>D33+D32+D30+D29</f>
        <v>0</v>
      </c>
      <c r="E34" s="89">
        <f>D34-C34</f>
        <v>0</v>
      </c>
    </row>
    <row r="35" spans="1:5" s="179" customFormat="1" ht="36" thickBot="1">
      <c r="A35" s="140" t="s">
        <v>41</v>
      </c>
      <c r="B35" s="407">
        <f>B34+B27+B6</f>
        <v>2614094.66</v>
      </c>
      <c r="C35" s="407">
        <f>C34+C27+C6</f>
        <v>2990980</v>
      </c>
      <c r="D35" s="407">
        <f>D34+D27+D6</f>
        <v>3102944</v>
      </c>
      <c r="E35" s="408">
        <f>D35-C35</f>
        <v>111964</v>
      </c>
    </row>
    <row r="36" ht="15.75" thickTop="1"/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35.664062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2" s="52" customFormat="1" ht="45">
      <c r="A1" s="9" t="s">
        <v>2</v>
      </c>
      <c r="B1" s="11"/>
      <c r="C1" s="11"/>
      <c r="D1" s="12" t="s">
        <v>3</v>
      </c>
      <c r="E1" s="69" t="s">
        <v>174</v>
      </c>
      <c r="F1" s="70"/>
      <c r="G1" s="69"/>
      <c r="H1" s="69"/>
      <c r="I1" s="69"/>
      <c r="J1" s="69"/>
      <c r="K1" s="69"/>
      <c r="L1" s="69"/>
    </row>
    <row r="2" spans="1:12" s="52" customFormat="1" ht="45">
      <c r="A2" s="9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G4" s="126"/>
      <c r="H4" s="126"/>
      <c r="I4" s="126"/>
      <c r="J4" s="126"/>
      <c r="K4" s="126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s="179" customFormat="1" ht="35.25">
      <c r="A6" s="127" t="s">
        <v>12</v>
      </c>
      <c r="B6" s="78"/>
      <c r="C6" s="78"/>
      <c r="D6" s="78"/>
      <c r="E6" s="79"/>
      <c r="F6" s="107"/>
    </row>
    <row r="7" spans="1:6" ht="34.5">
      <c r="A7" s="129" t="s">
        <v>13</v>
      </c>
      <c r="B7" s="80"/>
      <c r="C7" s="80"/>
      <c r="D7" s="80"/>
      <c r="E7" s="81">
        <f aca="true" t="shared" si="0" ref="E7:E12">D7-C7</f>
        <v>0</v>
      </c>
      <c r="F7" s="74"/>
    </row>
    <row r="8" spans="1:6" ht="34.5">
      <c r="A8" s="132" t="s">
        <v>14</v>
      </c>
      <c r="B8" s="82"/>
      <c r="C8" s="82"/>
      <c r="D8" s="82"/>
      <c r="E8" s="83">
        <f t="shared" si="0"/>
        <v>0</v>
      </c>
      <c r="F8" s="74"/>
    </row>
    <row r="9" spans="1:6" ht="34.5">
      <c r="A9" s="133" t="s">
        <v>15</v>
      </c>
      <c r="B9" s="82"/>
      <c r="C9" s="82"/>
      <c r="D9" s="82"/>
      <c r="E9" s="83">
        <f t="shared" si="0"/>
        <v>0</v>
      </c>
      <c r="F9" s="74"/>
    </row>
    <row r="10" spans="1:6" ht="34.5">
      <c r="A10" s="134" t="s">
        <v>16</v>
      </c>
      <c r="B10" s="82"/>
      <c r="C10" s="82"/>
      <c r="D10" s="82"/>
      <c r="E10" s="83">
        <f t="shared" si="0"/>
        <v>0</v>
      </c>
      <c r="F10" s="74"/>
    </row>
    <row r="11" spans="1:6" ht="34.5">
      <c r="A11" s="134" t="s">
        <v>17</v>
      </c>
      <c r="B11" s="82"/>
      <c r="C11" s="82"/>
      <c r="D11" s="82"/>
      <c r="E11" s="83">
        <f t="shared" si="0"/>
        <v>0</v>
      </c>
      <c r="F11" s="74"/>
    </row>
    <row r="12" spans="1:6" s="179" customFormat="1" ht="35.25">
      <c r="A12" s="135" t="s">
        <v>18</v>
      </c>
      <c r="B12" s="84">
        <f>B10+B9+B8+B7+B11</f>
        <v>0</v>
      </c>
      <c r="C12" s="84">
        <f>C10+C9+C8+C7+C11</f>
        <v>0</v>
      </c>
      <c r="D12" s="84">
        <f>D10+D9+D8+D7+D11</f>
        <v>0</v>
      </c>
      <c r="E12" s="83">
        <f t="shared" si="0"/>
        <v>0</v>
      </c>
      <c r="F12" s="107"/>
    </row>
    <row r="13" spans="1:6" ht="35.25">
      <c r="A13" s="127" t="s">
        <v>19</v>
      </c>
      <c r="B13" s="82"/>
      <c r="C13" s="82"/>
      <c r="D13" s="82"/>
      <c r="E13" s="85"/>
      <c r="F13" s="74"/>
    </row>
    <row r="14" spans="1:6" ht="35.25">
      <c r="A14" s="128" t="s">
        <v>20</v>
      </c>
      <c r="B14" s="80"/>
      <c r="C14" s="80"/>
      <c r="D14" s="80"/>
      <c r="E14" s="87"/>
      <c r="F14" s="74"/>
    </row>
    <row r="15" spans="1:6" ht="34.5">
      <c r="A15" s="129" t="s">
        <v>21</v>
      </c>
      <c r="B15" s="88"/>
      <c r="C15" s="88"/>
      <c r="D15" s="88"/>
      <c r="E15" s="88">
        <f>C15-D15</f>
        <v>0</v>
      </c>
      <c r="F15" s="86"/>
    </row>
    <row r="16" spans="1:6" ht="34.5">
      <c r="A16" s="129" t="s">
        <v>22</v>
      </c>
      <c r="B16" s="88"/>
      <c r="C16" s="88"/>
      <c r="D16" s="88"/>
      <c r="E16" s="88">
        <f>D16-C16</f>
        <v>0</v>
      </c>
      <c r="F16" s="86"/>
    </row>
    <row r="17" spans="1:6" ht="34.5">
      <c r="A17" s="130" t="s">
        <v>23</v>
      </c>
      <c r="B17" s="88"/>
      <c r="C17" s="88"/>
      <c r="D17" s="88"/>
      <c r="E17" s="88">
        <f>D17-C17</f>
        <v>0</v>
      </c>
      <c r="F17" s="86"/>
    </row>
    <row r="18" spans="1:6" ht="34.5">
      <c r="A18" s="130" t="s">
        <v>24</v>
      </c>
      <c r="B18" s="88"/>
      <c r="C18" s="88"/>
      <c r="D18" s="88"/>
      <c r="E18" s="88">
        <f>D18-C18</f>
        <v>0</v>
      </c>
      <c r="F18" s="86"/>
    </row>
    <row r="19" spans="1:6" ht="34.5">
      <c r="A19" s="129" t="s">
        <v>25</v>
      </c>
      <c r="B19" s="88"/>
      <c r="C19" s="88"/>
      <c r="D19" s="88"/>
      <c r="E19" s="88">
        <f>D19-C19</f>
        <v>0</v>
      </c>
      <c r="F19" s="86"/>
    </row>
    <row r="20" spans="1:6" s="179" customFormat="1" ht="35.25">
      <c r="A20" s="127" t="s">
        <v>26</v>
      </c>
      <c r="B20" s="84">
        <f>B19+B18+B17+B16+B15</f>
        <v>0</v>
      </c>
      <c r="C20" s="84">
        <f>C19+C18+C17+C16+C15</f>
        <v>0</v>
      </c>
      <c r="D20" s="84">
        <f>D19+D18+D17+D16+D15</f>
        <v>0</v>
      </c>
      <c r="E20" s="89">
        <f>E19+E18+E17+E16+E15</f>
        <v>0</v>
      </c>
      <c r="F20" s="97"/>
    </row>
    <row r="21" spans="1:6" ht="34.5">
      <c r="A21" s="136" t="s">
        <v>27</v>
      </c>
      <c r="B21" s="80"/>
      <c r="C21" s="80"/>
      <c r="D21" s="80"/>
      <c r="E21" s="81">
        <f aca="true" t="shared" si="1" ref="E21:E26">D21-C21</f>
        <v>0</v>
      </c>
      <c r="F21" s="86"/>
    </row>
    <row r="22" spans="1:6" s="179" customFormat="1" ht="34.5">
      <c r="A22" s="130" t="s">
        <v>28</v>
      </c>
      <c r="B22" s="82"/>
      <c r="C22" s="82"/>
      <c r="D22" s="82"/>
      <c r="E22" s="89">
        <f t="shared" si="1"/>
        <v>0</v>
      </c>
      <c r="F22" s="97"/>
    </row>
    <row r="23" spans="1:6" s="179" customFormat="1" ht="34.5">
      <c r="A23" s="120" t="s">
        <v>29</v>
      </c>
      <c r="B23" s="82"/>
      <c r="C23" s="82"/>
      <c r="D23" s="82"/>
      <c r="E23" s="89">
        <f t="shared" si="1"/>
        <v>0</v>
      </c>
      <c r="F23" s="97"/>
    </row>
    <row r="24" spans="1:6" ht="34.5">
      <c r="A24" s="133" t="s">
        <v>30</v>
      </c>
      <c r="B24" s="82"/>
      <c r="C24" s="82"/>
      <c r="D24" s="82"/>
      <c r="E24" s="89">
        <f t="shared" si="1"/>
        <v>0</v>
      </c>
      <c r="F24" s="86"/>
    </row>
    <row r="25" spans="1:6" ht="34.5">
      <c r="A25" s="130" t="s">
        <v>31</v>
      </c>
      <c r="B25" s="82"/>
      <c r="C25" s="82"/>
      <c r="D25" s="82"/>
      <c r="E25" s="89">
        <f t="shared" si="1"/>
        <v>0</v>
      </c>
      <c r="F25" s="86"/>
    </row>
    <row r="26" spans="1:6" ht="34.5">
      <c r="A26" s="120" t="s">
        <v>32</v>
      </c>
      <c r="B26" s="82"/>
      <c r="C26" s="82"/>
      <c r="D26" s="82"/>
      <c r="E26" s="89">
        <f t="shared" si="1"/>
        <v>0</v>
      </c>
      <c r="F26" s="86"/>
    </row>
    <row r="27" spans="1:6" ht="35.25">
      <c r="A27" s="137" t="s">
        <v>33</v>
      </c>
      <c r="B27" s="90">
        <f>B26+B25+B24+B23+B22+B21+B20</f>
        <v>0</v>
      </c>
      <c r="C27" s="90">
        <f>C26+C25+C24+C23+C22+C21+C20</f>
        <v>0</v>
      </c>
      <c r="D27" s="90">
        <f>D26+D25+D24+D23+D22+D21+D20</f>
        <v>0</v>
      </c>
      <c r="E27" s="91">
        <f>E26+E25+E24+E23+E22+E21</f>
        <v>0</v>
      </c>
      <c r="F27" s="86"/>
    </row>
    <row r="28" spans="1:6" ht="35.25">
      <c r="A28" s="128" t="s">
        <v>34</v>
      </c>
      <c r="B28" s="80"/>
      <c r="C28" s="80"/>
      <c r="D28" s="80"/>
      <c r="E28" s="87"/>
      <c r="F28" s="86"/>
    </row>
    <row r="29" spans="1:6" ht="34.5">
      <c r="A29" s="120" t="s">
        <v>175</v>
      </c>
      <c r="B29" s="90">
        <v>23623026</v>
      </c>
      <c r="C29" s="90">
        <v>28932083</v>
      </c>
      <c r="D29" s="90">
        <v>0</v>
      </c>
      <c r="E29" s="94">
        <f>D29-C29</f>
        <v>-28932083</v>
      </c>
      <c r="F29" s="86"/>
    </row>
    <row r="30" spans="1:6" s="179" customFormat="1" ht="34.5">
      <c r="A30" s="132" t="s">
        <v>36</v>
      </c>
      <c r="B30" s="93"/>
      <c r="C30" s="93"/>
      <c r="D30" s="93"/>
      <c r="E30" s="94">
        <f>D30-C30</f>
        <v>0</v>
      </c>
      <c r="F30" s="97"/>
    </row>
    <row r="31" spans="1:6" ht="35.25">
      <c r="A31" s="139" t="s">
        <v>37</v>
      </c>
      <c r="B31" s="80"/>
      <c r="C31" s="92"/>
      <c r="D31" s="92"/>
      <c r="E31" s="80"/>
      <c r="F31" s="86"/>
    </row>
    <row r="32" spans="1:6" ht="34.5">
      <c r="A32" s="130" t="s">
        <v>38</v>
      </c>
      <c r="B32" s="80"/>
      <c r="C32" s="80"/>
      <c r="D32" s="80"/>
      <c r="E32" s="81">
        <f>D32-C32</f>
        <v>0</v>
      </c>
      <c r="F32" s="74"/>
    </row>
    <row r="33" spans="1:6" ht="35.25">
      <c r="A33" s="127" t="s">
        <v>40</v>
      </c>
      <c r="B33" s="84">
        <f>B29</f>
        <v>23623026</v>
      </c>
      <c r="C33" s="84">
        <f>C29</f>
        <v>28932083</v>
      </c>
      <c r="D33" s="84">
        <f>D29</f>
        <v>0</v>
      </c>
      <c r="E33" s="84">
        <f>E29</f>
        <v>-28932083</v>
      </c>
      <c r="F33" s="74"/>
    </row>
    <row r="34" spans="1:6" s="179" customFormat="1" ht="36" thickBot="1">
      <c r="A34" s="140" t="s">
        <v>41</v>
      </c>
      <c r="B34" s="407">
        <f>B33+B27+B12+B20</f>
        <v>23623026</v>
      </c>
      <c r="C34" s="407">
        <f>C33+C27+C12+C20</f>
        <v>28932083</v>
      </c>
      <c r="D34" s="407">
        <f>D33+D27+D12+D20</f>
        <v>0</v>
      </c>
      <c r="E34" s="408">
        <f>D34-C34</f>
        <v>-28932083</v>
      </c>
      <c r="F34" s="107"/>
    </row>
    <row r="35" ht="15.75" thickTop="1"/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4" width="30.77734375" style="75" customWidth="1"/>
    <col min="5" max="5" width="40.88671875" style="75" customWidth="1"/>
    <col min="6" max="6" width="16.77734375" style="75" customWidth="1"/>
    <col min="7" max="7" width="12.99609375" style="75" customWidth="1"/>
    <col min="8" max="16384" width="9.6640625" style="75" customWidth="1"/>
  </cols>
  <sheetData>
    <row r="1" spans="1:11" s="52" customFormat="1" ht="45">
      <c r="A1" s="9" t="s">
        <v>2</v>
      </c>
      <c r="B1" s="11"/>
      <c r="C1" s="12" t="s">
        <v>3</v>
      </c>
      <c r="D1" s="455" t="s">
        <v>177</v>
      </c>
      <c r="E1" s="70"/>
      <c r="F1" s="123"/>
      <c r="G1" s="123"/>
      <c r="H1" s="123"/>
      <c r="I1" s="123"/>
      <c r="J1" s="123"/>
      <c r="K1" s="123"/>
    </row>
    <row r="2" spans="1:12" s="52" customFormat="1" ht="45">
      <c r="A2" s="9" t="s">
        <v>9</v>
      </c>
      <c r="B2" s="11"/>
      <c r="C2" s="11"/>
      <c r="D2" s="11"/>
      <c r="E2" s="11"/>
      <c r="F2" s="74"/>
      <c r="G2" s="126"/>
      <c r="H2" s="126"/>
      <c r="I2" s="126"/>
      <c r="J2" s="126"/>
      <c r="K2" s="126"/>
      <c r="L2" s="11"/>
    </row>
    <row r="3" spans="1:12" s="52" customFormat="1" ht="45.75" thickBot="1">
      <c r="A3" s="10" t="s">
        <v>10</v>
      </c>
      <c r="B3" s="123"/>
      <c r="C3" s="123"/>
      <c r="D3" s="123"/>
      <c r="E3" s="123"/>
      <c r="F3" s="74"/>
      <c r="G3" s="126"/>
      <c r="H3" s="126"/>
      <c r="I3" s="126"/>
      <c r="J3" s="126"/>
      <c r="K3" s="126"/>
      <c r="L3" s="123"/>
    </row>
    <row r="4" spans="1:13" ht="36" thickTop="1">
      <c r="A4" s="131" t="s">
        <v>11</v>
      </c>
      <c r="B4" s="124" t="s">
        <v>44</v>
      </c>
      <c r="C4" s="124" t="s">
        <v>45</v>
      </c>
      <c r="D4" s="124" t="s">
        <v>45</v>
      </c>
      <c r="E4" s="141" t="s">
        <v>46</v>
      </c>
      <c r="F4" s="74"/>
      <c r="L4" s="126"/>
      <c r="M4" s="126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127" t="s">
        <v>12</v>
      </c>
      <c r="B6" s="654"/>
      <c r="C6" s="654"/>
      <c r="D6" s="654"/>
      <c r="E6" s="654"/>
      <c r="F6" s="74"/>
    </row>
    <row r="7" spans="1:6" ht="34.5">
      <c r="A7" s="129" t="s">
        <v>13</v>
      </c>
      <c r="B7" s="655"/>
      <c r="C7" s="655"/>
      <c r="D7" s="655"/>
      <c r="E7" s="655">
        <f aca="true" t="shared" si="0" ref="E7:E12">D7-C7</f>
        <v>0</v>
      </c>
      <c r="F7" s="74"/>
    </row>
    <row r="8" spans="1:6" ht="34.5">
      <c r="A8" s="132" t="s">
        <v>14</v>
      </c>
      <c r="B8" s="656"/>
      <c r="C8" s="656"/>
      <c r="D8" s="656"/>
      <c r="E8" s="656">
        <f t="shared" si="0"/>
        <v>0</v>
      </c>
      <c r="F8" s="74"/>
    </row>
    <row r="9" spans="1:6" ht="34.5">
      <c r="A9" s="133" t="s">
        <v>15</v>
      </c>
      <c r="B9" s="656"/>
      <c r="C9" s="656"/>
      <c r="D9" s="656"/>
      <c r="E9" s="656">
        <f t="shared" si="0"/>
        <v>0</v>
      </c>
      <c r="F9" s="74"/>
    </row>
    <row r="10" spans="1:6" ht="34.5">
      <c r="A10" s="134" t="s">
        <v>16</v>
      </c>
      <c r="B10" s="656"/>
      <c r="C10" s="656"/>
      <c r="D10" s="656"/>
      <c r="E10" s="656">
        <f t="shared" si="0"/>
        <v>0</v>
      </c>
      <c r="F10" s="74"/>
    </row>
    <row r="11" spans="1:6" ht="34.5">
      <c r="A11" s="134" t="s">
        <v>17</v>
      </c>
      <c r="B11" s="656"/>
      <c r="C11" s="656"/>
      <c r="D11" s="656"/>
      <c r="E11" s="656">
        <f t="shared" si="0"/>
        <v>0</v>
      </c>
      <c r="F11" s="86"/>
    </row>
    <row r="12" spans="1:6" ht="35.25">
      <c r="A12" s="135" t="s">
        <v>18</v>
      </c>
      <c r="B12" s="656">
        <f>B10+B9+B8+B7+B11</f>
        <v>0</v>
      </c>
      <c r="C12" s="656">
        <f>C10+C9+C8+C7+C11</f>
        <v>0</v>
      </c>
      <c r="D12" s="656">
        <f>D10+D9+D8+D7+D11</f>
        <v>0</v>
      </c>
      <c r="E12" s="656">
        <f t="shared" si="0"/>
        <v>0</v>
      </c>
      <c r="F12" s="86"/>
    </row>
    <row r="13" spans="1:6" ht="35.25">
      <c r="A13" s="127" t="s">
        <v>19</v>
      </c>
      <c r="B13" s="656"/>
      <c r="C13" s="656"/>
      <c r="D13" s="656"/>
      <c r="E13" s="656"/>
      <c r="F13" s="86"/>
    </row>
    <row r="14" spans="1:6" ht="35.25">
      <c r="A14" s="128" t="s">
        <v>20</v>
      </c>
      <c r="B14" s="655"/>
      <c r="C14" s="655"/>
      <c r="D14" s="655"/>
      <c r="E14" s="655"/>
      <c r="F14" s="86"/>
    </row>
    <row r="15" spans="1:6" ht="34.5">
      <c r="A15" s="464" t="s">
        <v>21</v>
      </c>
      <c r="B15" s="657">
        <v>20490854</v>
      </c>
      <c r="C15" s="657">
        <v>21664000</v>
      </c>
      <c r="D15" s="657">
        <v>21516000</v>
      </c>
      <c r="E15" s="657">
        <f>D15-C15</f>
        <v>-148000</v>
      </c>
      <c r="F15" s="86"/>
    </row>
    <row r="16" spans="1:6" ht="34.5">
      <c r="A16" s="465" t="s">
        <v>22</v>
      </c>
      <c r="B16" s="657">
        <v>4093653</v>
      </c>
      <c r="C16" s="657">
        <v>4196000</v>
      </c>
      <c r="D16" s="657">
        <v>4093000</v>
      </c>
      <c r="E16" s="657">
        <f>D16-C16</f>
        <v>-103000</v>
      </c>
      <c r="F16" s="86"/>
    </row>
    <row r="17" spans="1:6" ht="34.5">
      <c r="A17" s="466" t="s">
        <v>23</v>
      </c>
      <c r="B17" s="657">
        <v>1889392</v>
      </c>
      <c r="C17" s="657">
        <v>1991000</v>
      </c>
      <c r="D17" s="657">
        <v>1889000</v>
      </c>
      <c r="E17" s="657">
        <f>D17-C17</f>
        <v>-102000</v>
      </c>
      <c r="F17" s="86"/>
    </row>
    <row r="18" spans="1:6" ht="34.5">
      <c r="A18" s="466" t="s">
        <v>24</v>
      </c>
      <c r="B18" s="657">
        <v>1089996</v>
      </c>
      <c r="C18" s="657">
        <v>1148000</v>
      </c>
      <c r="D18" s="657">
        <v>1090000</v>
      </c>
      <c r="E18" s="657">
        <f>D18-C18</f>
        <v>-58000</v>
      </c>
      <c r="F18" s="74"/>
    </row>
    <row r="19" spans="1:6" ht="34.5">
      <c r="A19" s="469" t="s">
        <v>25</v>
      </c>
      <c r="B19" s="657">
        <v>2099256</v>
      </c>
      <c r="C19" s="657">
        <v>2168000</v>
      </c>
      <c r="D19" s="657">
        <v>2101000</v>
      </c>
      <c r="E19" s="657">
        <f>D19-C19</f>
        <v>-67000</v>
      </c>
      <c r="F19" s="74"/>
    </row>
    <row r="20" spans="1:6" ht="35.25">
      <c r="A20" s="463" t="s">
        <v>26</v>
      </c>
      <c r="B20" s="655">
        <f>B19+B18+B17+B16+B15</f>
        <v>29663151</v>
      </c>
      <c r="C20" s="655">
        <f>C19+C18+C17+C16+C15</f>
        <v>31167000</v>
      </c>
      <c r="D20" s="655">
        <f>D19+D18+D17+D16+D15</f>
        <v>30689000</v>
      </c>
      <c r="E20" s="655">
        <f>E19+E18+E17+E16+E15</f>
        <v>-478000</v>
      </c>
      <c r="F20" s="74"/>
    </row>
    <row r="21" spans="1:6" ht="34.5">
      <c r="A21" s="136" t="s">
        <v>27</v>
      </c>
      <c r="B21" s="655"/>
      <c r="C21" s="655"/>
      <c r="D21" s="655"/>
      <c r="E21" s="655">
        <f aca="true" t="shared" si="1" ref="E21:E26">D21-C21</f>
        <v>0</v>
      </c>
      <c r="F21" s="74"/>
    </row>
    <row r="22" spans="1:6" ht="34.5">
      <c r="A22" s="130" t="s">
        <v>28</v>
      </c>
      <c r="B22" s="656"/>
      <c r="C22" s="656"/>
      <c r="D22" s="656"/>
      <c r="E22" s="656">
        <f t="shared" si="1"/>
        <v>0</v>
      </c>
      <c r="F22" s="74"/>
    </row>
    <row r="23" spans="1:6" ht="34.5">
      <c r="A23" s="120" t="s">
        <v>29</v>
      </c>
      <c r="B23" s="656">
        <v>46154</v>
      </c>
      <c r="C23" s="656"/>
      <c r="D23" s="656"/>
      <c r="E23" s="656">
        <f t="shared" si="1"/>
        <v>0</v>
      </c>
      <c r="F23" s="74"/>
    </row>
    <row r="24" spans="1:6" ht="34.5">
      <c r="A24" s="133" t="s">
        <v>30</v>
      </c>
      <c r="B24" s="656">
        <v>539560</v>
      </c>
      <c r="C24" s="656">
        <v>387000</v>
      </c>
      <c r="D24" s="656">
        <v>464000</v>
      </c>
      <c r="E24" s="656">
        <f t="shared" si="1"/>
        <v>77000</v>
      </c>
      <c r="F24" s="74"/>
    </row>
    <row r="25" spans="1:6" ht="34.5">
      <c r="A25" s="130" t="s">
        <v>31</v>
      </c>
      <c r="B25" s="656"/>
      <c r="C25" s="656"/>
      <c r="D25" s="656"/>
      <c r="E25" s="656">
        <f t="shared" si="1"/>
        <v>0</v>
      </c>
      <c r="F25" s="74"/>
    </row>
    <row r="26" spans="1:6" ht="34.5">
      <c r="A26" s="120" t="s">
        <v>32</v>
      </c>
      <c r="B26" s="656">
        <v>4087248</v>
      </c>
      <c r="C26" s="656">
        <v>9634636</v>
      </c>
      <c r="D26" s="656">
        <v>10157617</v>
      </c>
      <c r="E26" s="656">
        <f t="shared" si="1"/>
        <v>522981</v>
      </c>
      <c r="F26" s="74"/>
    </row>
    <row r="27" spans="1:6" ht="35.25">
      <c r="A27" s="137" t="s">
        <v>33</v>
      </c>
      <c r="B27" s="658">
        <f>B26+B25+B24+B23+B22+B21+B20</f>
        <v>34336113</v>
      </c>
      <c r="C27" s="658">
        <f>C26+C25+C24+C23+C22+C21+C20</f>
        <v>41188636</v>
      </c>
      <c r="D27" s="658">
        <f>D26+D25+D24+D23+D22+D21+D20</f>
        <v>41310617</v>
      </c>
      <c r="E27" s="658">
        <f>E26+E25+E24+E23+E22+E21</f>
        <v>599981</v>
      </c>
      <c r="F27" s="74"/>
    </row>
    <row r="28" spans="1:6" ht="35.25">
      <c r="A28" s="128" t="s">
        <v>34</v>
      </c>
      <c r="B28" s="655"/>
      <c r="C28" s="655"/>
      <c r="D28" s="655"/>
      <c r="E28" s="655"/>
      <c r="F28" s="74"/>
    </row>
    <row r="29" spans="1:6" ht="34.5">
      <c r="A29" s="138" t="s">
        <v>35</v>
      </c>
      <c r="B29" s="655"/>
      <c r="C29" s="659"/>
      <c r="D29" s="659"/>
      <c r="E29" s="655">
        <f>D29-C29</f>
        <v>0</v>
      </c>
      <c r="F29" s="74"/>
    </row>
    <row r="30" spans="1:6" ht="34.5">
      <c r="A30" s="132" t="s">
        <v>36</v>
      </c>
      <c r="B30" s="658"/>
      <c r="C30" s="658"/>
      <c r="D30" s="658"/>
      <c r="E30" s="658">
        <f>D30-C30</f>
        <v>0</v>
      </c>
      <c r="F30" s="74"/>
    </row>
    <row r="31" spans="1:6" ht="35.25">
      <c r="A31" s="139" t="s">
        <v>37</v>
      </c>
      <c r="B31" s="655"/>
      <c r="C31" s="659"/>
      <c r="D31" s="659"/>
      <c r="E31" s="655"/>
      <c r="F31" s="74"/>
    </row>
    <row r="32" spans="1:11" ht="44.25">
      <c r="A32" s="130" t="s">
        <v>38</v>
      </c>
      <c r="B32" s="655"/>
      <c r="C32" s="655"/>
      <c r="D32" s="655"/>
      <c r="E32" s="655">
        <f>D32-C32</f>
        <v>0</v>
      </c>
      <c r="F32" s="51"/>
      <c r="G32" s="52"/>
      <c r="H32" s="52"/>
      <c r="I32" s="52"/>
      <c r="J32" s="52"/>
      <c r="K32" s="52"/>
    </row>
    <row r="33" spans="1:11" ht="44.25">
      <c r="A33" s="132" t="s">
        <v>39</v>
      </c>
      <c r="B33" s="656"/>
      <c r="C33" s="656"/>
      <c r="D33" s="656"/>
      <c r="E33" s="656">
        <f>D33-C33</f>
        <v>0</v>
      </c>
      <c r="F33" s="51"/>
      <c r="G33" s="52"/>
      <c r="H33" s="52"/>
      <c r="I33" s="52"/>
      <c r="J33" s="52"/>
      <c r="K33" s="52"/>
    </row>
    <row r="34" spans="1:6" s="52" customFormat="1" ht="44.25">
      <c r="A34" s="127" t="s">
        <v>40</v>
      </c>
      <c r="B34" s="656">
        <f>B33+B32+B30+B29</f>
        <v>0</v>
      </c>
      <c r="C34" s="656">
        <f>C33+C32+C30+C29</f>
        <v>0</v>
      </c>
      <c r="D34" s="656">
        <f>D33+D32+D30+D29</f>
        <v>0</v>
      </c>
      <c r="E34" s="656">
        <f>D34-C34</f>
        <v>0</v>
      </c>
      <c r="F34" s="51"/>
    </row>
    <row r="35" spans="1:11" s="52" customFormat="1" ht="45" thickBot="1">
      <c r="A35" s="140" t="s">
        <v>41</v>
      </c>
      <c r="B35" s="660">
        <f>B34+B27+B12</f>
        <v>34336113</v>
      </c>
      <c r="C35" s="660">
        <f>C34+C27+C12</f>
        <v>41188636</v>
      </c>
      <c r="D35" s="660">
        <f>D34+D27+D12</f>
        <v>41310617</v>
      </c>
      <c r="E35" s="660">
        <f>D35-C35</f>
        <v>121981</v>
      </c>
      <c r="F35" s="99"/>
      <c r="G35" s="75"/>
      <c r="H35" s="75"/>
      <c r="I35" s="75"/>
      <c r="J35" s="75"/>
      <c r="K35" s="75"/>
    </row>
    <row r="36" spans="1:11" s="52" customFormat="1" ht="45" thickTop="1">
      <c r="A36" s="97"/>
      <c r="B36" s="98"/>
      <c r="C36" s="98"/>
      <c r="D36" s="98"/>
      <c r="E36" s="110"/>
      <c r="F36" s="100"/>
      <c r="G36" s="75"/>
      <c r="H36" s="75"/>
      <c r="I36" s="75"/>
      <c r="J36" s="75"/>
      <c r="K36" s="75"/>
    </row>
    <row r="37" spans="1:5" ht="20.25">
      <c r="A37" s="101"/>
      <c r="B37" s="100"/>
      <c r="C37" s="100"/>
      <c r="D37" s="100"/>
      <c r="E37" s="100"/>
    </row>
    <row r="38" spans="1:5" ht="20.25">
      <c r="A38" s="101" t="s">
        <v>0</v>
      </c>
      <c r="B38" s="99"/>
      <c r="C38" s="99"/>
      <c r="D38" s="99"/>
      <c r="E38" s="99"/>
    </row>
    <row r="39" spans="1:5" ht="20.25">
      <c r="A39" s="101"/>
      <c r="B39" s="100"/>
      <c r="C39" s="100"/>
      <c r="D39" s="100"/>
      <c r="E39" s="100"/>
    </row>
    <row r="41" spans="1:5" ht="25.5">
      <c r="A41" s="121"/>
      <c r="B41" s="122"/>
      <c r="C41" s="122"/>
      <c r="D41" s="122"/>
      <c r="E41" s="122"/>
    </row>
    <row r="42" spans="1:5" ht="25.5">
      <c r="A42" s="122"/>
      <c r="B42" s="122"/>
      <c r="C42" s="122"/>
      <c r="D42" s="122"/>
      <c r="E42" s="122"/>
    </row>
    <row r="43" spans="1:5" ht="25.5">
      <c r="A43" s="122"/>
      <c r="B43" s="122"/>
      <c r="C43" s="122"/>
      <c r="D43" s="122"/>
      <c r="E43" s="122"/>
    </row>
    <row r="44" spans="1:5" ht="25.5">
      <c r="A44" s="122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30" zoomScaleNormal="30" zoomScalePageLayoutView="0" workbookViewId="0" topLeftCell="B1">
      <selection activeCell="K26" sqref="K26"/>
    </sheetView>
  </sheetViews>
  <sheetFormatPr defaultColWidth="9.6640625" defaultRowHeight="15"/>
  <cols>
    <col min="1" max="1" width="133.5546875" style="75" customWidth="1"/>
    <col min="2" max="3" width="65.6640625" style="75" customWidth="1"/>
    <col min="4" max="4" width="65.5546875" style="75" customWidth="1"/>
    <col min="5" max="5" width="65.21484375" style="75" customWidth="1"/>
    <col min="6" max="16384" width="9.6640625" style="75" customWidth="1"/>
  </cols>
  <sheetData>
    <row r="1" spans="1:10" s="52" customFormat="1" ht="45">
      <c r="A1" s="9" t="s">
        <v>2</v>
      </c>
      <c r="B1" s="12" t="s">
        <v>3</v>
      </c>
      <c r="C1" s="455" t="s">
        <v>176</v>
      </c>
      <c r="D1" s="70"/>
      <c r="E1" s="70"/>
      <c r="F1" s="11"/>
      <c r="G1" s="11"/>
      <c r="H1" s="11"/>
      <c r="I1" s="11"/>
      <c r="J1" s="11"/>
    </row>
    <row r="2" spans="1:10" s="52" customFormat="1" ht="45">
      <c r="A2" s="9" t="s">
        <v>9</v>
      </c>
      <c r="B2" s="11"/>
      <c r="C2" s="11"/>
      <c r="D2" s="11"/>
      <c r="E2" s="11"/>
      <c r="F2" s="123"/>
      <c r="G2" s="123"/>
      <c r="H2" s="123"/>
      <c r="I2" s="123"/>
      <c r="J2" s="123"/>
    </row>
    <row r="3" spans="1:10" s="52" customFormat="1" ht="45.75" thickBot="1">
      <c r="A3" s="10" t="s">
        <v>10</v>
      </c>
      <c r="B3" s="123"/>
      <c r="C3" s="123"/>
      <c r="D3" s="123"/>
      <c r="E3" s="123"/>
      <c r="F3" s="126"/>
      <c r="G3" s="126"/>
      <c r="H3" s="126"/>
      <c r="I3" s="126"/>
      <c r="J3" s="126"/>
    </row>
    <row r="4" spans="1:11" ht="36" thickTop="1">
      <c r="A4" s="131" t="s">
        <v>11</v>
      </c>
      <c r="B4" s="124" t="s">
        <v>44</v>
      </c>
      <c r="C4" s="141" t="s">
        <v>45</v>
      </c>
      <c r="D4" s="124" t="s">
        <v>45</v>
      </c>
      <c r="E4" s="141" t="s">
        <v>46</v>
      </c>
      <c r="F4" s="126"/>
      <c r="G4" s="126"/>
      <c r="H4" s="126"/>
      <c r="I4" s="126"/>
      <c r="J4" s="126"/>
      <c r="K4" s="126"/>
    </row>
    <row r="5" spans="1:5" ht="36" thickBot="1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5" ht="35.25">
      <c r="A6" s="128" t="s">
        <v>12</v>
      </c>
      <c r="B6" s="460"/>
      <c r="C6" s="460"/>
      <c r="D6" s="460"/>
      <c r="E6" s="460"/>
    </row>
    <row r="7" spans="1:5" ht="34.5">
      <c r="A7" s="129" t="s">
        <v>13</v>
      </c>
      <c r="B7" s="195">
        <v>0</v>
      </c>
      <c r="C7" s="195">
        <v>0</v>
      </c>
      <c r="D7" s="195">
        <v>0</v>
      </c>
      <c r="E7" s="195">
        <v>0</v>
      </c>
    </row>
    <row r="8" spans="1:5" ht="34.5">
      <c r="A8" s="132" t="s">
        <v>14</v>
      </c>
      <c r="B8" s="459">
        <v>0</v>
      </c>
      <c r="C8" s="459">
        <v>0</v>
      </c>
      <c r="D8" s="459">
        <v>0</v>
      </c>
      <c r="E8" s="142">
        <v>0</v>
      </c>
    </row>
    <row r="9" spans="1:5" ht="34.5">
      <c r="A9" s="133" t="s">
        <v>15</v>
      </c>
      <c r="B9" s="459">
        <v>0</v>
      </c>
      <c r="C9" s="459">
        <v>0</v>
      </c>
      <c r="D9" s="459">
        <v>0</v>
      </c>
      <c r="E9" s="142">
        <v>0</v>
      </c>
    </row>
    <row r="10" spans="1:5" ht="34.5">
      <c r="A10" s="134" t="s">
        <v>16</v>
      </c>
      <c r="B10" s="459">
        <v>0</v>
      </c>
      <c r="C10" s="459">
        <v>0</v>
      </c>
      <c r="D10" s="459">
        <v>0</v>
      </c>
      <c r="E10" s="142">
        <v>0</v>
      </c>
    </row>
    <row r="11" spans="1:5" ht="34.5">
      <c r="A11" s="134" t="s">
        <v>17</v>
      </c>
      <c r="B11" s="459">
        <v>0</v>
      </c>
      <c r="C11" s="459">
        <v>0</v>
      </c>
      <c r="D11" s="459">
        <v>6200000</v>
      </c>
      <c r="E11" s="142">
        <v>0</v>
      </c>
    </row>
    <row r="12" spans="1:5" ht="35.25">
      <c r="A12" s="135" t="s">
        <v>18</v>
      </c>
      <c r="B12" s="461">
        <v>0</v>
      </c>
      <c r="C12" s="461">
        <v>0</v>
      </c>
      <c r="D12" s="461">
        <v>6200000</v>
      </c>
      <c r="E12" s="462">
        <v>0</v>
      </c>
    </row>
    <row r="13" spans="1:5" ht="35.25">
      <c r="A13" s="127" t="s">
        <v>19</v>
      </c>
      <c r="B13" s="457"/>
      <c r="C13" s="457"/>
      <c r="D13" s="457"/>
      <c r="E13" s="456"/>
    </row>
    <row r="14" spans="1:5" ht="35.25">
      <c r="A14" s="128" t="s">
        <v>20</v>
      </c>
      <c r="B14" s="125"/>
      <c r="C14" s="125"/>
      <c r="D14" s="125"/>
      <c r="E14" s="143"/>
    </row>
    <row r="15" spans="1:5" ht="34.5">
      <c r="A15" s="464" t="s">
        <v>21</v>
      </c>
      <c r="B15" s="195">
        <v>33739443</v>
      </c>
      <c r="C15" s="195">
        <v>33275300</v>
      </c>
      <c r="D15" s="195">
        <v>35638924</v>
      </c>
      <c r="E15" s="195">
        <v>2363624</v>
      </c>
    </row>
    <row r="16" spans="1:5" ht="34.5">
      <c r="A16" s="465" t="s">
        <v>22</v>
      </c>
      <c r="B16" s="194">
        <v>2921493</v>
      </c>
      <c r="C16" s="194">
        <v>2660000</v>
      </c>
      <c r="D16" s="194">
        <v>2782643</v>
      </c>
      <c r="E16" s="194">
        <v>122643</v>
      </c>
    </row>
    <row r="17" spans="1:5" ht="34.5">
      <c r="A17" s="466" t="s">
        <v>23</v>
      </c>
      <c r="B17" s="194">
        <v>3569217</v>
      </c>
      <c r="C17" s="194">
        <v>3520000</v>
      </c>
      <c r="D17" s="194">
        <v>3540450</v>
      </c>
      <c r="E17" s="194">
        <v>20450</v>
      </c>
    </row>
    <row r="18" spans="1:5" ht="34.5">
      <c r="A18" s="466" t="s">
        <v>24</v>
      </c>
      <c r="B18" s="194">
        <v>1821605</v>
      </c>
      <c r="C18" s="194">
        <v>1800000</v>
      </c>
      <c r="D18" s="194">
        <v>1807700</v>
      </c>
      <c r="E18" s="194">
        <v>7700</v>
      </c>
    </row>
    <row r="19" spans="1:5" ht="34.5">
      <c r="A19" s="466" t="s">
        <v>168</v>
      </c>
      <c r="B19" s="194">
        <f>228536+500000+1091180</f>
        <v>1819716</v>
      </c>
      <c r="C19" s="194">
        <f>210000+500000+1400000</f>
        <v>2110000</v>
      </c>
      <c r="D19" s="194">
        <f>210000+500000+1400000</f>
        <v>2110000</v>
      </c>
      <c r="E19" s="194">
        <v>0</v>
      </c>
    </row>
    <row r="20" spans="1:5" ht="35.25">
      <c r="A20" s="463" t="s">
        <v>26</v>
      </c>
      <c r="B20" s="458">
        <f>SUM(B15:B19)</f>
        <v>43871474</v>
      </c>
      <c r="C20" s="458">
        <v>43365300</v>
      </c>
      <c r="D20" s="458">
        <v>45879717</v>
      </c>
      <c r="E20" s="458">
        <v>2514417</v>
      </c>
    </row>
    <row r="21" spans="1:5" ht="34.5">
      <c r="A21" s="136" t="s">
        <v>27</v>
      </c>
      <c r="B21" s="467">
        <v>0</v>
      </c>
      <c r="C21" s="194">
        <v>0</v>
      </c>
      <c r="D21" s="194">
        <v>0</v>
      </c>
      <c r="E21" s="193">
        <v>0</v>
      </c>
    </row>
    <row r="22" spans="1:5" ht="34.5">
      <c r="A22" s="130" t="s">
        <v>28</v>
      </c>
      <c r="B22" s="467">
        <v>25712</v>
      </c>
      <c r="C22" s="194">
        <v>29000</v>
      </c>
      <c r="D22" s="194">
        <v>29000</v>
      </c>
      <c r="E22" s="193">
        <v>0</v>
      </c>
    </row>
    <row r="23" spans="1:5" ht="34.5">
      <c r="A23" s="120" t="s">
        <v>29</v>
      </c>
      <c r="B23" s="467">
        <v>0</v>
      </c>
      <c r="C23" s="194">
        <v>0</v>
      </c>
      <c r="D23" s="194">
        <v>0</v>
      </c>
      <c r="E23" s="193">
        <v>0</v>
      </c>
    </row>
    <row r="24" spans="1:5" ht="34.5">
      <c r="A24" s="133" t="s">
        <v>30</v>
      </c>
      <c r="B24" s="467">
        <v>0</v>
      </c>
      <c r="C24" s="194">
        <v>0</v>
      </c>
      <c r="D24" s="194">
        <v>0</v>
      </c>
      <c r="E24" s="193">
        <v>0</v>
      </c>
    </row>
    <row r="25" spans="1:5" ht="34.5">
      <c r="A25" s="130" t="s">
        <v>31</v>
      </c>
      <c r="B25" s="467">
        <v>0</v>
      </c>
      <c r="C25" s="194">
        <v>0</v>
      </c>
      <c r="D25" s="194">
        <v>0</v>
      </c>
      <c r="E25" s="193">
        <v>0</v>
      </c>
    </row>
    <row r="26" spans="1:5" ht="35.25">
      <c r="A26" s="120" t="s">
        <v>32</v>
      </c>
      <c r="B26" s="468">
        <v>3005311</v>
      </c>
      <c r="C26" s="468">
        <v>4793535</v>
      </c>
      <c r="D26" s="468">
        <v>5073830</v>
      </c>
      <c r="E26" s="470">
        <v>280295</v>
      </c>
    </row>
    <row r="27" spans="1:5" ht="35.25">
      <c r="A27" s="137" t="s">
        <v>33</v>
      </c>
      <c r="B27" s="458">
        <f>SUM(B20:B26)</f>
        <v>46902497</v>
      </c>
      <c r="C27" s="458">
        <v>48187835</v>
      </c>
      <c r="D27" s="458">
        <v>50982547</v>
      </c>
      <c r="E27" s="187">
        <v>2794712</v>
      </c>
    </row>
    <row r="28" spans="1:5" ht="35.25">
      <c r="A28" s="128" t="s">
        <v>34</v>
      </c>
      <c r="B28" s="184"/>
      <c r="C28" s="184"/>
      <c r="D28" s="184"/>
      <c r="E28" s="184"/>
    </row>
    <row r="29" spans="1:5" ht="34.5">
      <c r="A29" s="138" t="s">
        <v>35</v>
      </c>
      <c r="B29" s="184">
        <v>0</v>
      </c>
      <c r="C29" s="184">
        <v>0</v>
      </c>
      <c r="D29" s="189">
        <v>0</v>
      </c>
      <c r="E29" s="184">
        <v>0</v>
      </c>
    </row>
    <row r="30" spans="1:5" ht="34.5">
      <c r="A30" s="132" t="s">
        <v>36</v>
      </c>
      <c r="B30" s="190">
        <v>0</v>
      </c>
      <c r="C30" s="190">
        <v>0</v>
      </c>
      <c r="D30" s="190">
        <v>0</v>
      </c>
      <c r="E30" s="190">
        <v>0</v>
      </c>
    </row>
    <row r="31" spans="1:5" ht="35.25">
      <c r="A31" s="139" t="s">
        <v>37</v>
      </c>
      <c r="B31" s="184"/>
      <c r="C31" s="189"/>
      <c r="D31" s="189"/>
      <c r="E31" s="184"/>
    </row>
    <row r="32" spans="1:5" ht="34.5">
      <c r="A32" s="130" t="s">
        <v>38</v>
      </c>
      <c r="B32" s="184">
        <v>0</v>
      </c>
      <c r="C32" s="184">
        <v>0</v>
      </c>
      <c r="D32" s="184">
        <v>0</v>
      </c>
      <c r="E32" s="184">
        <v>0</v>
      </c>
    </row>
    <row r="33" spans="1:10" ht="44.25">
      <c r="A33" s="132" t="s">
        <v>39</v>
      </c>
      <c r="B33" s="185">
        <v>0</v>
      </c>
      <c r="C33" s="185">
        <v>0</v>
      </c>
      <c r="D33" s="185">
        <v>0</v>
      </c>
      <c r="E33" s="185">
        <v>0</v>
      </c>
      <c r="F33" s="52"/>
      <c r="G33" s="52"/>
      <c r="H33" s="52"/>
      <c r="I33" s="52"/>
      <c r="J33" s="52"/>
    </row>
    <row r="34" spans="1:5" s="52" customFormat="1" ht="44.25">
      <c r="A34" s="127" t="s">
        <v>40</v>
      </c>
      <c r="B34" s="186">
        <v>0</v>
      </c>
      <c r="C34" s="186">
        <v>0</v>
      </c>
      <c r="D34" s="186">
        <v>0</v>
      </c>
      <c r="E34" s="186">
        <v>0</v>
      </c>
    </row>
    <row r="35" spans="1:5" s="52" customFormat="1" ht="45" thickBot="1">
      <c r="A35" s="140" t="s">
        <v>41</v>
      </c>
      <c r="B35" s="191">
        <v>46902497</v>
      </c>
      <c r="C35" s="191">
        <v>48187835</v>
      </c>
      <c r="D35" s="191">
        <v>57182547</v>
      </c>
      <c r="E35" s="191">
        <v>2794712</v>
      </c>
    </row>
    <row r="36" spans="1:10" s="52" customFormat="1" ht="45" thickTop="1">
      <c r="A36" s="97"/>
      <c r="B36" s="98"/>
      <c r="C36" s="98"/>
      <c r="D36" s="98"/>
      <c r="E36" s="110"/>
      <c r="F36" s="75"/>
      <c r="G36" s="75"/>
      <c r="H36" s="75"/>
      <c r="I36" s="75"/>
      <c r="J36" s="75"/>
    </row>
    <row r="37" spans="1:5" ht="45">
      <c r="A37" s="49" t="s">
        <v>42</v>
      </c>
      <c r="B37" s="50"/>
      <c r="C37" s="50"/>
      <c r="D37" s="50"/>
      <c r="E37" s="50"/>
    </row>
    <row r="38" spans="1:5" ht="44.25">
      <c r="A38" s="51"/>
      <c r="B38" s="52"/>
      <c r="C38" s="52"/>
      <c r="D38" s="52"/>
      <c r="E38" s="52"/>
    </row>
    <row r="39" spans="1:5" ht="44.25">
      <c r="A39" s="53" t="s">
        <v>43</v>
      </c>
      <c r="B39" s="52"/>
      <c r="C39" s="52"/>
      <c r="D39" s="52"/>
      <c r="E39" s="52"/>
    </row>
    <row r="40" spans="1:5" ht="20.25">
      <c r="A40" s="101"/>
      <c r="B40" s="100"/>
      <c r="C40" s="100"/>
      <c r="D40" s="100"/>
      <c r="E40" s="100"/>
    </row>
    <row r="41" spans="1:5" ht="20.25">
      <c r="A41" s="101" t="s">
        <v>0</v>
      </c>
      <c r="B41" s="99"/>
      <c r="C41" s="99"/>
      <c r="D41" s="99"/>
      <c r="E41" s="99"/>
    </row>
    <row r="42" spans="1:5" ht="20.25">
      <c r="A42" s="101"/>
      <c r="B42" s="100"/>
      <c r="C42" s="100"/>
      <c r="D42" s="100"/>
      <c r="E42" s="100"/>
    </row>
    <row r="44" spans="1:5" ht="25.5">
      <c r="A44" s="121"/>
      <c r="B44" s="122"/>
      <c r="C44" s="122"/>
      <c r="D44" s="122"/>
      <c r="E44" s="122"/>
    </row>
    <row r="45" spans="1:5" ht="25.5">
      <c r="A45" s="122"/>
      <c r="B45" s="122"/>
      <c r="C45" s="122"/>
      <c r="D45" s="122"/>
      <c r="E45" s="122"/>
    </row>
    <row r="46" spans="1:5" ht="25.5">
      <c r="A46" s="122"/>
      <c r="B46" s="122"/>
      <c r="C46" s="122"/>
      <c r="D46" s="122"/>
      <c r="E46" s="122"/>
    </row>
    <row r="47" spans="1:5" ht="25.5">
      <c r="A47" s="122"/>
      <c r="B47" s="122"/>
      <c r="C47" s="122"/>
      <c r="D47" s="122"/>
      <c r="E47" s="122"/>
    </row>
    <row r="48" spans="1:5" ht="25.5">
      <c r="A48" s="122"/>
      <c r="B48" s="122"/>
      <c r="C48" s="122"/>
      <c r="D48" s="122"/>
      <c r="E48" s="122"/>
    </row>
    <row r="49" spans="1:5" ht="25.5">
      <c r="A49" s="122"/>
      <c r="B49" s="122"/>
      <c r="C49" s="122"/>
      <c r="D49" s="122"/>
      <c r="E49" s="122"/>
    </row>
    <row r="50" spans="1:5" ht="25.5">
      <c r="A50" s="122"/>
      <c r="B50" s="122"/>
      <c r="C50" s="122"/>
      <c r="D50" s="122"/>
      <c r="E50" s="122"/>
    </row>
    <row r="51" spans="1:5" ht="25.5">
      <c r="A51" s="122"/>
      <c r="B51" s="122"/>
      <c r="C51" s="122"/>
      <c r="D51" s="122"/>
      <c r="E51" s="122"/>
    </row>
    <row r="52" spans="1:5" ht="25.5">
      <c r="A52" s="122"/>
      <c r="B52" s="122"/>
      <c r="C52" s="122"/>
      <c r="D52" s="122"/>
      <c r="E52" s="122"/>
    </row>
    <row r="53" spans="1:5" ht="25.5">
      <c r="A53" s="122"/>
      <c r="B53" s="122"/>
      <c r="C53" s="122"/>
      <c r="D53" s="122"/>
      <c r="E53" s="122"/>
    </row>
    <row r="54" spans="1:5" ht="25.5">
      <c r="A54" s="122"/>
      <c r="B54" s="122"/>
      <c r="C54" s="122"/>
      <c r="D54" s="122"/>
      <c r="E54" s="122"/>
    </row>
    <row r="55" spans="1:5" ht="25.5">
      <c r="A55" s="122"/>
      <c r="B55" s="122"/>
      <c r="C55" s="122"/>
      <c r="D55" s="122"/>
      <c r="E55" s="122"/>
    </row>
    <row r="56" spans="1:5" ht="25.5">
      <c r="A56" s="122"/>
      <c r="B56" s="122"/>
      <c r="C56" s="122"/>
      <c r="D56" s="122"/>
      <c r="E56" s="122"/>
    </row>
    <row r="57" spans="1:5" ht="25.5">
      <c r="A57" s="122"/>
      <c r="B57" s="122"/>
      <c r="C57" s="122"/>
      <c r="D57" s="122"/>
      <c r="E57" s="122"/>
    </row>
    <row r="58" spans="1:5" ht="25.5">
      <c r="A58" s="122"/>
      <c r="B58" s="122"/>
      <c r="C58" s="122"/>
      <c r="D58" s="122"/>
      <c r="E58" s="122"/>
    </row>
    <row r="59" spans="1:5" ht="25.5">
      <c r="A59" s="122"/>
      <c r="B59" s="122"/>
      <c r="C59" s="122"/>
      <c r="D59" s="122"/>
      <c r="E59" s="122"/>
    </row>
    <row r="60" spans="1:5" ht="25.5">
      <c r="A60" s="122"/>
      <c r="B60" s="122"/>
      <c r="C60" s="122"/>
      <c r="D60" s="122"/>
      <c r="E60" s="122"/>
    </row>
    <row r="61" spans="1:5" ht="25.5">
      <c r="A61" s="122"/>
      <c r="B61" s="122"/>
      <c r="C61" s="122"/>
      <c r="D61" s="122"/>
      <c r="E61" s="122"/>
    </row>
    <row r="62" spans="1:5" ht="25.5">
      <c r="A62" s="122"/>
      <c r="B62" s="122"/>
      <c r="C62" s="122"/>
      <c r="D62" s="122"/>
      <c r="E62" s="122"/>
    </row>
    <row r="63" spans="1:5" ht="25.5">
      <c r="A63" s="122"/>
      <c r="B63" s="122"/>
      <c r="C63" s="122"/>
      <c r="D63" s="122"/>
      <c r="E63" s="122"/>
    </row>
    <row r="64" spans="1:5" ht="25.5">
      <c r="A64" s="122"/>
      <c r="B64" s="122"/>
      <c r="C64" s="122"/>
      <c r="D64" s="122"/>
      <c r="E64" s="122"/>
    </row>
    <row r="65" spans="1:5" ht="25.5">
      <c r="A65" s="122"/>
      <c r="B65" s="122"/>
      <c r="C65" s="122"/>
      <c r="D65" s="122"/>
      <c r="E65" s="122"/>
    </row>
    <row r="66" spans="1:5" ht="25.5">
      <c r="A66" s="122"/>
      <c r="B66" s="122"/>
      <c r="C66" s="122"/>
      <c r="D66" s="122"/>
      <c r="E66" s="122"/>
    </row>
    <row r="67" spans="1:5" ht="25.5">
      <c r="A67" s="122"/>
      <c r="B67" s="122"/>
      <c r="C67" s="122"/>
      <c r="D67" s="122"/>
      <c r="E67" s="12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2" width="36.5546875" style="75" customWidth="1"/>
    <col min="3" max="4" width="30.77734375" style="75" customWidth="1"/>
    <col min="5" max="5" width="30.77734375" style="217" customWidth="1"/>
    <col min="6" max="6" width="35.6640625" style="75" customWidth="1"/>
    <col min="7" max="16384" width="9.6640625" style="75" customWidth="1"/>
  </cols>
  <sheetData>
    <row r="1" spans="1:5" s="52" customFormat="1" ht="45">
      <c r="A1" s="9" t="s">
        <v>2</v>
      </c>
      <c r="B1" s="208" t="s">
        <v>3</v>
      </c>
      <c r="C1" s="455" t="s">
        <v>178</v>
      </c>
      <c r="D1" s="70"/>
      <c r="E1" s="69"/>
    </row>
    <row r="2" spans="1:6" s="52" customFormat="1" ht="45">
      <c r="A2" s="9" t="s">
        <v>9</v>
      </c>
      <c r="B2" s="9"/>
      <c r="C2" s="11"/>
      <c r="D2" s="11"/>
      <c r="E2" s="209"/>
      <c r="F2" s="11"/>
    </row>
    <row r="3" spans="1:6" s="52" customFormat="1" ht="45.75" thickBot="1">
      <c r="A3" s="10" t="s">
        <v>10</v>
      </c>
      <c r="B3" s="12"/>
      <c r="C3" s="123"/>
      <c r="D3" s="123"/>
      <c r="E3" s="210"/>
      <c r="F3" s="123"/>
    </row>
    <row r="4" spans="1:6" ht="36" thickTop="1">
      <c r="A4" s="131" t="s">
        <v>11</v>
      </c>
      <c r="B4" s="478" t="s">
        <v>44</v>
      </c>
      <c r="C4" s="479" t="s">
        <v>45</v>
      </c>
      <c r="D4" s="479" t="s">
        <v>45</v>
      </c>
      <c r="E4" s="480" t="s">
        <v>46</v>
      </c>
      <c r="F4" s="74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127" t="s">
        <v>12</v>
      </c>
      <c r="B6" s="472"/>
      <c r="C6" s="473"/>
      <c r="D6" s="473"/>
      <c r="E6" s="474"/>
      <c r="F6" s="74"/>
    </row>
    <row r="7" spans="1:6" ht="34.5">
      <c r="A7" s="129" t="s">
        <v>13</v>
      </c>
      <c r="B7" s="498">
        <v>0</v>
      </c>
      <c r="C7" s="499">
        <v>0</v>
      </c>
      <c r="D7" s="499">
        <v>0</v>
      </c>
      <c r="E7" s="481">
        <v>0</v>
      </c>
      <c r="F7" s="74"/>
    </row>
    <row r="8" spans="1:6" ht="34.5">
      <c r="A8" s="132" t="s">
        <v>14</v>
      </c>
      <c r="B8" s="498">
        <v>0</v>
      </c>
      <c r="C8" s="499">
        <v>0</v>
      </c>
      <c r="D8" s="499">
        <v>0</v>
      </c>
      <c r="E8" s="481">
        <v>0</v>
      </c>
      <c r="F8" s="74"/>
    </row>
    <row r="9" spans="1:6" ht="34.5">
      <c r="A9" s="133" t="s">
        <v>15</v>
      </c>
      <c r="B9" s="498">
        <v>0</v>
      </c>
      <c r="C9" s="499">
        <v>0</v>
      </c>
      <c r="D9" s="499">
        <v>0</v>
      </c>
      <c r="E9" s="481">
        <v>0</v>
      </c>
      <c r="F9" s="74"/>
    </row>
    <row r="10" spans="1:6" ht="34.5">
      <c r="A10" s="134" t="s">
        <v>16</v>
      </c>
      <c r="B10" s="498">
        <v>0</v>
      </c>
      <c r="C10" s="499">
        <v>0</v>
      </c>
      <c r="D10" s="499">
        <v>0</v>
      </c>
      <c r="E10" s="481">
        <v>0</v>
      </c>
      <c r="F10" s="74"/>
    </row>
    <row r="11" spans="1:6" ht="34.5">
      <c r="A11" s="134" t="s">
        <v>17</v>
      </c>
      <c r="B11" s="498">
        <v>0</v>
      </c>
      <c r="C11" s="499">
        <v>0</v>
      </c>
      <c r="D11" s="499">
        <v>0</v>
      </c>
      <c r="E11" s="481">
        <v>0</v>
      </c>
      <c r="F11" s="74"/>
    </row>
    <row r="12" spans="1:6" s="179" customFormat="1" ht="35.25">
      <c r="A12" s="135" t="s">
        <v>18</v>
      </c>
      <c r="B12" s="500">
        <v>0</v>
      </c>
      <c r="C12" s="501">
        <v>0</v>
      </c>
      <c r="D12" s="501">
        <v>0</v>
      </c>
      <c r="E12" s="502">
        <v>0</v>
      </c>
      <c r="F12" s="107"/>
    </row>
    <row r="13" spans="1:6" ht="35.25">
      <c r="A13" s="490" t="s">
        <v>19</v>
      </c>
      <c r="B13" s="472"/>
      <c r="C13" s="473"/>
      <c r="D13" s="473"/>
      <c r="E13" s="474"/>
      <c r="F13" s="86"/>
    </row>
    <row r="14" spans="1:6" ht="35.25">
      <c r="A14" s="491" t="s">
        <v>20</v>
      </c>
      <c r="B14" s="475"/>
      <c r="C14" s="476"/>
      <c r="D14" s="476"/>
      <c r="E14" s="477"/>
      <c r="F14" s="86"/>
    </row>
    <row r="15" spans="1:6" ht="34.5">
      <c r="A15" s="492" t="s">
        <v>21</v>
      </c>
      <c r="B15" s="503">
        <v>18852369</v>
      </c>
      <c r="C15" s="504">
        <v>20732356</v>
      </c>
      <c r="D15" s="504">
        <v>22087233</v>
      </c>
      <c r="E15" s="471">
        <f>+D15-C15</f>
        <v>1354877</v>
      </c>
      <c r="F15" s="86"/>
    </row>
    <row r="16" spans="1:6" ht="34.5">
      <c r="A16" s="493" t="s">
        <v>22</v>
      </c>
      <c r="B16" s="505">
        <v>1379494</v>
      </c>
      <c r="C16" s="506">
        <v>1469868</v>
      </c>
      <c r="D16" s="506">
        <v>1407000</v>
      </c>
      <c r="E16" s="212">
        <f>+D16-C16</f>
        <v>-62868</v>
      </c>
      <c r="F16" s="86"/>
    </row>
    <row r="17" spans="1:6" ht="34.5">
      <c r="A17" s="494" t="s">
        <v>23</v>
      </c>
      <c r="B17" s="505">
        <v>1917374</v>
      </c>
      <c r="C17" s="506">
        <v>2018040</v>
      </c>
      <c r="D17" s="506">
        <v>1883490</v>
      </c>
      <c r="E17" s="212">
        <f>+D17-C17</f>
        <v>-134550</v>
      </c>
      <c r="F17" s="86"/>
    </row>
    <row r="18" spans="1:6" ht="34.5">
      <c r="A18" s="494" t="s">
        <v>24</v>
      </c>
      <c r="B18" s="505">
        <v>959044</v>
      </c>
      <c r="C18" s="506">
        <v>1006520</v>
      </c>
      <c r="D18" s="506">
        <v>941745</v>
      </c>
      <c r="E18" s="212">
        <f>+D18-C18</f>
        <v>-64775</v>
      </c>
      <c r="F18" s="86"/>
    </row>
    <row r="19" spans="1:6" ht="34.5">
      <c r="A19" s="495" t="s">
        <v>25</v>
      </c>
      <c r="B19" s="507">
        <v>2496466</v>
      </c>
      <c r="C19" s="508">
        <v>1976162</v>
      </c>
      <c r="D19" s="508">
        <v>2292242</v>
      </c>
      <c r="E19" s="212">
        <f>+D19-C19</f>
        <v>316080</v>
      </c>
      <c r="F19" s="86"/>
    </row>
    <row r="20" spans="1:6" s="179" customFormat="1" ht="35.25">
      <c r="A20" s="490" t="s">
        <v>26</v>
      </c>
      <c r="B20" s="509">
        <f>SUM(B15:B19)</f>
        <v>25604747</v>
      </c>
      <c r="C20" s="510">
        <f>SUM(C15:C19)</f>
        <v>27202946</v>
      </c>
      <c r="D20" s="510">
        <f>SUM(D15:D19)</f>
        <v>28611710</v>
      </c>
      <c r="E20" s="213">
        <f>SUM(E15:E19)</f>
        <v>1408764</v>
      </c>
      <c r="F20" s="97"/>
    </row>
    <row r="21" spans="1:6" ht="35.25">
      <c r="A21" s="492" t="s">
        <v>27</v>
      </c>
      <c r="B21" s="509">
        <v>0</v>
      </c>
      <c r="C21" s="510">
        <v>0</v>
      </c>
      <c r="D21" s="510">
        <v>0</v>
      </c>
      <c r="E21" s="213">
        <v>0</v>
      </c>
      <c r="F21" s="86"/>
    </row>
    <row r="22" spans="1:6" ht="34.5">
      <c r="A22" s="496" t="s">
        <v>28</v>
      </c>
      <c r="B22" s="505">
        <v>263779</v>
      </c>
      <c r="C22" s="506">
        <v>204800</v>
      </c>
      <c r="D22" s="506">
        <v>239100</v>
      </c>
      <c r="E22" s="212">
        <f>+D22-C22</f>
        <v>34300</v>
      </c>
      <c r="F22" s="86"/>
    </row>
    <row r="23" spans="1:6" ht="34.5">
      <c r="A23" s="497" t="s">
        <v>29</v>
      </c>
      <c r="B23" s="505">
        <v>1228014</v>
      </c>
      <c r="C23" s="506">
        <v>1015000</v>
      </c>
      <c r="D23" s="506">
        <v>1065000</v>
      </c>
      <c r="E23" s="212">
        <f>+D23-C23</f>
        <v>50000</v>
      </c>
      <c r="F23" s="86"/>
    </row>
    <row r="24" spans="1:6" ht="34.5">
      <c r="A24" s="494" t="s">
        <v>30</v>
      </c>
      <c r="B24" s="505">
        <v>0</v>
      </c>
      <c r="C24" s="506">
        <v>0</v>
      </c>
      <c r="D24" s="506">
        <v>0</v>
      </c>
      <c r="E24" s="212">
        <v>0</v>
      </c>
      <c r="F24" s="86"/>
    </row>
    <row r="25" spans="1:6" ht="34.5">
      <c r="A25" s="496" t="s">
        <v>31</v>
      </c>
      <c r="B25" s="511">
        <v>0</v>
      </c>
      <c r="C25" s="512">
        <v>0</v>
      </c>
      <c r="D25" s="512">
        <v>0</v>
      </c>
      <c r="E25" s="211">
        <v>0</v>
      </c>
      <c r="F25" s="86"/>
    </row>
    <row r="26" spans="1:6" ht="34.5">
      <c r="A26" s="497" t="s">
        <v>116</v>
      </c>
      <c r="B26" s="511">
        <v>1365056</v>
      </c>
      <c r="C26" s="512">
        <v>1346373</v>
      </c>
      <c r="D26" s="512">
        <v>1121305</v>
      </c>
      <c r="E26" s="212">
        <f>+D26-C26</f>
        <v>-225068</v>
      </c>
      <c r="F26" s="86"/>
    </row>
    <row r="27" spans="1:6" s="179" customFormat="1" ht="35.25">
      <c r="A27" s="484" t="s">
        <v>33</v>
      </c>
      <c r="B27" s="509">
        <f>SUM(B20:B26)</f>
        <v>28461596</v>
      </c>
      <c r="C27" s="510">
        <f>SUM(C20:C26)</f>
        <v>29769119</v>
      </c>
      <c r="D27" s="510">
        <f>SUM(D20:D26)</f>
        <v>31037115</v>
      </c>
      <c r="E27" s="213">
        <f>SUM(E20:E26)</f>
        <v>1267996</v>
      </c>
      <c r="F27" s="97"/>
    </row>
    <row r="28" spans="1:6" ht="35.25">
      <c r="A28" s="485" t="s">
        <v>34</v>
      </c>
      <c r="B28" s="515"/>
      <c r="C28" s="516"/>
      <c r="D28" s="516"/>
      <c r="E28" s="517"/>
      <c r="F28" s="86"/>
    </row>
    <row r="29" spans="1:6" ht="35.25">
      <c r="A29" s="486" t="s">
        <v>82</v>
      </c>
      <c r="B29" s="498">
        <v>0</v>
      </c>
      <c r="C29" s="501">
        <v>0</v>
      </c>
      <c r="D29" s="501">
        <v>0</v>
      </c>
      <c r="E29" s="502">
        <v>0</v>
      </c>
      <c r="F29" s="74"/>
    </row>
    <row r="30" spans="1:6" ht="35.25">
      <c r="A30" s="487" t="s">
        <v>36</v>
      </c>
      <c r="B30" s="509">
        <v>0</v>
      </c>
      <c r="C30" s="510">
        <v>0</v>
      </c>
      <c r="D30" s="510">
        <v>0</v>
      </c>
      <c r="E30" s="213">
        <v>0</v>
      </c>
      <c r="F30" s="74"/>
    </row>
    <row r="31" spans="1:6" ht="35.25">
      <c r="A31" s="488" t="s">
        <v>37</v>
      </c>
      <c r="B31" s="515"/>
      <c r="C31" s="516"/>
      <c r="D31" s="516"/>
      <c r="E31" s="517"/>
      <c r="F31" s="74"/>
    </row>
    <row r="32" spans="1:6" ht="34.5">
      <c r="A32" s="483" t="s">
        <v>38</v>
      </c>
      <c r="B32" s="498">
        <v>0</v>
      </c>
      <c r="C32" s="499">
        <v>0</v>
      </c>
      <c r="D32" s="499">
        <v>0</v>
      </c>
      <c r="E32" s="481">
        <v>0</v>
      </c>
      <c r="F32" s="74"/>
    </row>
    <row r="33" spans="1:6" ht="34.5">
      <c r="A33" s="487" t="s">
        <v>39</v>
      </c>
      <c r="B33" s="511">
        <v>0</v>
      </c>
      <c r="C33" s="512">
        <v>0</v>
      </c>
      <c r="D33" s="512">
        <v>0</v>
      </c>
      <c r="E33" s="211">
        <v>0</v>
      </c>
      <c r="F33" s="74"/>
    </row>
    <row r="34" spans="1:6" s="179" customFormat="1" ht="35.25">
      <c r="A34" s="482" t="s">
        <v>40</v>
      </c>
      <c r="B34" s="509">
        <f>SUM(B29:B33)</f>
        <v>0</v>
      </c>
      <c r="C34" s="510">
        <f>SUM(C29:C33)</f>
        <v>0</v>
      </c>
      <c r="D34" s="510">
        <f>SUM(D29:D33)</f>
        <v>0</v>
      </c>
      <c r="E34" s="213">
        <f>SUM(E29:E33)</f>
        <v>0</v>
      </c>
      <c r="F34" s="107"/>
    </row>
    <row r="35" spans="1:6" s="179" customFormat="1" ht="36" thickBot="1">
      <c r="A35" s="489" t="s">
        <v>41</v>
      </c>
      <c r="B35" s="513">
        <f>+B12+B27+B34</f>
        <v>28461596</v>
      </c>
      <c r="C35" s="514">
        <f>+C12+C27+C34</f>
        <v>29769119</v>
      </c>
      <c r="D35" s="514">
        <f>+D12+D27+D34</f>
        <v>31037115</v>
      </c>
      <c r="E35" s="214">
        <f>+E12+E27+E34</f>
        <v>1267996</v>
      </c>
      <c r="F35" s="107"/>
    </row>
    <row r="36" spans="1:6" ht="20.25">
      <c r="A36" s="97"/>
      <c r="B36" s="155"/>
      <c r="C36" s="155"/>
      <c r="D36" s="98"/>
      <c r="E36" s="215"/>
      <c r="F36" s="98"/>
    </row>
    <row r="37" spans="1:5" ht="25.5">
      <c r="A37" s="122"/>
      <c r="B37" s="122"/>
      <c r="C37" s="122"/>
      <c r="D37" s="122"/>
      <c r="E37" s="216"/>
    </row>
    <row r="38" spans="1:5" ht="33">
      <c r="A38" s="192" t="s">
        <v>118</v>
      </c>
      <c r="B38" s="122"/>
      <c r="C38" s="122"/>
      <c r="D38" s="122"/>
      <c r="E38" s="216"/>
    </row>
    <row r="39" ht="33">
      <c r="A39" s="192" t="s">
        <v>119</v>
      </c>
    </row>
    <row r="40" ht="33">
      <c r="A40" s="192" t="s">
        <v>120</v>
      </c>
    </row>
    <row r="41" ht="33">
      <c r="A41" s="192" t="s">
        <v>121</v>
      </c>
    </row>
    <row r="42" ht="33">
      <c r="A42" s="192"/>
    </row>
    <row r="43" ht="33">
      <c r="A43" s="192"/>
    </row>
    <row r="44" ht="33">
      <c r="A44" s="192" t="s">
        <v>122</v>
      </c>
    </row>
    <row r="45" ht="33">
      <c r="A45" s="192" t="s">
        <v>123</v>
      </c>
    </row>
    <row r="46" ht="33">
      <c r="A46" s="192" t="s">
        <v>124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zoomScale="30" zoomScaleNormal="30" zoomScalePageLayoutView="0" workbookViewId="0" topLeftCell="A1">
      <selection activeCell="K26" sqref="K26"/>
    </sheetView>
  </sheetViews>
  <sheetFormatPr defaultColWidth="9.6640625" defaultRowHeight="15"/>
  <cols>
    <col min="1" max="1" width="133.5546875" style="75" customWidth="1"/>
    <col min="2" max="2" width="36.5546875" style="217" customWidth="1"/>
    <col min="3" max="5" width="30.77734375" style="217" customWidth="1"/>
    <col min="6" max="6" width="35.6640625" style="75" customWidth="1"/>
    <col min="7" max="16384" width="9.6640625" style="75" customWidth="1"/>
  </cols>
  <sheetData>
    <row r="1" spans="1:5" s="52" customFormat="1" ht="45">
      <c r="A1" s="9" t="s">
        <v>2</v>
      </c>
      <c r="B1" s="12" t="s">
        <v>3</v>
      </c>
      <c r="C1" s="69" t="s">
        <v>179</v>
      </c>
      <c r="D1" s="70"/>
      <c r="E1" s="70"/>
    </row>
    <row r="2" spans="1:6" s="52" customFormat="1" ht="45">
      <c r="A2" s="9" t="s">
        <v>9</v>
      </c>
      <c r="B2" s="11"/>
      <c r="C2" s="11"/>
      <c r="D2" s="11"/>
      <c r="E2" s="11"/>
      <c r="F2" s="11"/>
    </row>
    <row r="3" spans="1:6" s="52" customFormat="1" ht="45.75" thickBot="1">
      <c r="A3" s="10" t="s">
        <v>10</v>
      </c>
      <c r="B3" s="71"/>
      <c r="C3" s="71"/>
      <c r="D3" s="71"/>
      <c r="E3" s="71"/>
      <c r="F3" s="123"/>
    </row>
    <row r="4" spans="1:6" ht="36" thickTop="1">
      <c r="A4" s="34" t="s">
        <v>11</v>
      </c>
      <c r="B4" s="72" t="s">
        <v>44</v>
      </c>
      <c r="C4" s="72" t="s">
        <v>45</v>
      </c>
      <c r="D4" s="72" t="s">
        <v>45</v>
      </c>
      <c r="E4" s="73" t="s">
        <v>46</v>
      </c>
      <c r="F4" s="74"/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6" ht="35.25">
      <c r="A6" s="36" t="s">
        <v>12</v>
      </c>
      <c r="B6" s="78"/>
      <c r="C6" s="78"/>
      <c r="D6" s="78"/>
      <c r="E6" s="79"/>
      <c r="F6" s="74"/>
    </row>
    <row r="7" spans="1:6" ht="34.5">
      <c r="A7" s="35" t="s">
        <v>13</v>
      </c>
      <c r="B7" s="682"/>
      <c r="C7" s="682"/>
      <c r="D7" s="682"/>
      <c r="E7" s="683">
        <f aca="true" t="shared" si="0" ref="E7:E12">D7-C7</f>
        <v>0</v>
      </c>
      <c r="F7" s="74"/>
    </row>
    <row r="8" spans="1:6" ht="34.5">
      <c r="A8" s="37" t="s">
        <v>14</v>
      </c>
      <c r="B8" s="684"/>
      <c r="C8" s="684"/>
      <c r="D8" s="684"/>
      <c r="E8" s="685">
        <f t="shared" si="0"/>
        <v>0</v>
      </c>
      <c r="F8" s="74"/>
    </row>
    <row r="9" spans="1:6" ht="34.5">
      <c r="A9" s="38" t="s">
        <v>15</v>
      </c>
      <c r="B9" s="684"/>
      <c r="C9" s="684"/>
      <c r="D9" s="684"/>
      <c r="E9" s="685">
        <f t="shared" si="0"/>
        <v>0</v>
      </c>
      <c r="F9" s="74"/>
    </row>
    <row r="10" spans="1:6" ht="34.5">
      <c r="A10" s="39" t="s">
        <v>16</v>
      </c>
      <c r="B10" s="684"/>
      <c r="C10" s="684"/>
      <c r="D10" s="684"/>
      <c r="E10" s="685">
        <f t="shared" si="0"/>
        <v>0</v>
      </c>
      <c r="F10" s="74"/>
    </row>
    <row r="11" spans="1:6" ht="34.5">
      <c r="A11" s="39" t="s">
        <v>17</v>
      </c>
      <c r="B11" s="684"/>
      <c r="C11" s="684"/>
      <c r="D11" s="684"/>
      <c r="E11" s="685">
        <f t="shared" si="0"/>
        <v>0</v>
      </c>
      <c r="F11" s="74"/>
    </row>
    <row r="12" spans="1:6" s="179" customFormat="1" ht="35.25">
      <c r="A12" s="40" t="s">
        <v>18</v>
      </c>
      <c r="B12" s="684">
        <f>B10+B9+B8+B7+B11</f>
        <v>0</v>
      </c>
      <c r="C12" s="684">
        <f>C10+C9+C8+C7+C11</f>
        <v>0</v>
      </c>
      <c r="D12" s="684">
        <f>D10+D9+D8+D7+D11</f>
        <v>0</v>
      </c>
      <c r="E12" s="685">
        <f t="shared" si="0"/>
        <v>0</v>
      </c>
      <c r="F12" s="107"/>
    </row>
    <row r="13" spans="1:6" ht="35.25">
      <c r="A13" s="36" t="s">
        <v>19</v>
      </c>
      <c r="B13" s="684"/>
      <c r="C13" s="684"/>
      <c r="D13" s="684"/>
      <c r="E13" s="685"/>
      <c r="F13" s="86"/>
    </row>
    <row r="14" spans="1:6" ht="35.25">
      <c r="A14" s="221" t="s">
        <v>20</v>
      </c>
      <c r="B14" s="699"/>
      <c r="C14" s="699"/>
      <c r="D14" s="699"/>
      <c r="E14" s="700"/>
      <c r="F14" s="86"/>
    </row>
    <row r="15" spans="1:6" ht="34.5">
      <c r="A15" s="518" t="s">
        <v>21</v>
      </c>
      <c r="B15" s="699">
        <v>30344232</v>
      </c>
      <c r="C15" s="699">
        <v>32460884</v>
      </c>
      <c r="D15" s="701">
        <v>33641665</v>
      </c>
      <c r="E15" s="699">
        <f>D15-C15</f>
        <v>1180781</v>
      </c>
      <c r="F15" s="86"/>
    </row>
    <row r="16" spans="1:6" ht="34.5">
      <c r="A16" s="519" t="s">
        <v>22</v>
      </c>
      <c r="B16" s="699">
        <v>1680409</v>
      </c>
      <c r="C16" s="699">
        <v>1688960</v>
      </c>
      <c r="D16" s="701">
        <v>1780409</v>
      </c>
      <c r="E16" s="699">
        <f>D16-C16</f>
        <v>91449</v>
      </c>
      <c r="F16" s="86"/>
    </row>
    <row r="17" spans="1:6" ht="34.5">
      <c r="A17" s="519" t="s">
        <v>23</v>
      </c>
      <c r="B17" s="699">
        <v>3237757</v>
      </c>
      <c r="C17" s="699">
        <v>3459040</v>
      </c>
      <c r="D17" s="701">
        <v>3473005</v>
      </c>
      <c r="E17" s="699">
        <f>D17-C17</f>
        <v>13965</v>
      </c>
      <c r="F17" s="86"/>
    </row>
    <row r="18" spans="1:6" ht="34.5">
      <c r="A18" s="519" t="s">
        <v>24</v>
      </c>
      <c r="B18" s="699">
        <v>1562856</v>
      </c>
      <c r="C18" s="699">
        <v>1668160</v>
      </c>
      <c r="D18" s="701">
        <v>1679350</v>
      </c>
      <c r="E18" s="699">
        <f>D18-C18</f>
        <v>11190</v>
      </c>
      <c r="F18" s="86"/>
    </row>
    <row r="19" spans="1:6" ht="34.5">
      <c r="A19" s="520" t="s">
        <v>25</v>
      </c>
      <c r="B19" s="699">
        <f>22230+163601+2</f>
        <v>185833</v>
      </c>
      <c r="C19" s="699">
        <f>18000+174720</f>
        <v>192720</v>
      </c>
      <c r="D19" s="701">
        <f>22000+163000</f>
        <v>185000</v>
      </c>
      <c r="E19" s="699">
        <f>D19-C19</f>
        <v>-7720</v>
      </c>
      <c r="F19" s="86"/>
    </row>
    <row r="20" spans="1:6" s="179" customFormat="1" ht="35.25">
      <c r="A20" s="36" t="s">
        <v>26</v>
      </c>
      <c r="B20" s="684">
        <f>B19+B18+B17+B16+B15</f>
        <v>37011087</v>
      </c>
      <c r="C20" s="684">
        <f>C19+C18+C17+C16+C15</f>
        <v>39469764</v>
      </c>
      <c r="D20" s="702">
        <f>D19+D18+D17+D16+D15</f>
        <v>40759429</v>
      </c>
      <c r="E20" s="685">
        <f>E19+E18+E17+E16+E15</f>
        <v>1289665</v>
      </c>
      <c r="F20" s="97"/>
    </row>
    <row r="21" spans="1:6" ht="34.5">
      <c r="A21" s="43" t="s">
        <v>27</v>
      </c>
      <c r="B21" s="682"/>
      <c r="C21" s="682"/>
      <c r="D21" s="701"/>
      <c r="E21" s="683">
        <f aca="true" t="shared" si="1" ref="E21:E26">D21-C21</f>
        <v>0</v>
      </c>
      <c r="F21" s="86"/>
    </row>
    <row r="22" spans="1:6" ht="34.5">
      <c r="A22" s="222" t="s">
        <v>28</v>
      </c>
      <c r="B22" s="703">
        <v>1091830</v>
      </c>
      <c r="C22" s="703">
        <v>1057495</v>
      </c>
      <c r="D22" s="702">
        <v>1067835</v>
      </c>
      <c r="E22" s="704">
        <f t="shared" si="1"/>
        <v>10340</v>
      </c>
      <c r="F22" s="86"/>
    </row>
    <row r="23" spans="1:6" ht="34.5">
      <c r="A23" s="44" t="s">
        <v>29</v>
      </c>
      <c r="B23" s="684"/>
      <c r="C23" s="684"/>
      <c r="D23" s="702"/>
      <c r="E23" s="685">
        <f t="shared" si="1"/>
        <v>0</v>
      </c>
      <c r="F23" s="86"/>
    </row>
    <row r="24" spans="1:6" ht="34.5">
      <c r="A24" s="38" t="s">
        <v>30</v>
      </c>
      <c r="B24" s="684"/>
      <c r="C24" s="684"/>
      <c r="D24" s="702"/>
      <c r="E24" s="685">
        <f t="shared" si="1"/>
        <v>0</v>
      </c>
      <c r="F24" s="86"/>
    </row>
    <row r="25" spans="1:6" ht="34.5">
      <c r="A25" s="222" t="s">
        <v>31</v>
      </c>
      <c r="B25" s="703">
        <v>0</v>
      </c>
      <c r="C25" s="703"/>
      <c r="D25" s="702">
        <v>0</v>
      </c>
      <c r="E25" s="704">
        <f t="shared" si="1"/>
        <v>0</v>
      </c>
      <c r="F25" s="86"/>
    </row>
    <row r="26" spans="1:6" ht="34.5">
      <c r="A26" s="223" t="s">
        <v>32</v>
      </c>
      <c r="B26" s="703">
        <f>293120+2424028+1816003+7164+85415+226882+709123-1</f>
        <v>5561734</v>
      </c>
      <c r="C26" s="703">
        <f>2911397+1714221+7000+89587+183000+622695+200067</f>
        <v>5727967</v>
      </c>
      <c r="D26" s="702">
        <f>278000+2827598+2335743+4267+77990+226000+715819-1</f>
        <v>6465416</v>
      </c>
      <c r="E26" s="704">
        <f t="shared" si="1"/>
        <v>737449</v>
      </c>
      <c r="F26" s="86"/>
    </row>
    <row r="27" spans="1:6" s="179" customFormat="1" ht="35.25">
      <c r="A27" s="224" t="s">
        <v>33</v>
      </c>
      <c r="B27" s="705">
        <v>43666568</v>
      </c>
      <c r="C27" s="705">
        <f>C26+C25+C24+C23+C22+C21+C20</f>
        <v>46255226</v>
      </c>
      <c r="D27" s="706">
        <f>D26+D25+D24+D23+D22+D21+D20</f>
        <v>48292680</v>
      </c>
      <c r="E27" s="707">
        <f>E26+E25+E24+E23+E22+E21</f>
        <v>747789</v>
      </c>
      <c r="F27" s="97"/>
    </row>
    <row r="28" spans="1:6" ht="35.25">
      <c r="A28" s="41" t="s">
        <v>34</v>
      </c>
      <c r="B28" s="682"/>
      <c r="C28" s="682"/>
      <c r="D28" s="701"/>
      <c r="E28" s="683"/>
      <c r="F28" s="86"/>
    </row>
    <row r="29" spans="1:6" ht="34.5">
      <c r="A29" s="46" t="s">
        <v>35</v>
      </c>
      <c r="B29" s="682"/>
      <c r="C29" s="682"/>
      <c r="D29" s="708"/>
      <c r="E29" s="683">
        <f>D29-C29</f>
        <v>0</v>
      </c>
      <c r="F29" s="74"/>
    </row>
    <row r="30" spans="1:6" ht="34.5">
      <c r="A30" s="37" t="s">
        <v>36</v>
      </c>
      <c r="B30" s="709"/>
      <c r="C30" s="709"/>
      <c r="D30" s="706"/>
      <c r="E30" s="710">
        <f>D30-C30</f>
        <v>0</v>
      </c>
      <c r="F30" s="74"/>
    </row>
    <row r="31" spans="1:6" ht="35.25">
      <c r="A31" s="47" t="s">
        <v>37</v>
      </c>
      <c r="B31" s="682"/>
      <c r="C31" s="711"/>
      <c r="D31" s="708"/>
      <c r="E31" s="682"/>
      <c r="F31" s="74"/>
    </row>
    <row r="32" spans="1:6" ht="34.5">
      <c r="A32" s="42" t="s">
        <v>38</v>
      </c>
      <c r="B32" s="682"/>
      <c r="C32" s="682"/>
      <c r="D32" s="701"/>
      <c r="E32" s="683">
        <f>D32-C32</f>
        <v>0</v>
      </c>
      <c r="F32" s="74"/>
    </row>
    <row r="33" spans="1:6" ht="34.5">
      <c r="A33" s="37" t="s">
        <v>39</v>
      </c>
      <c r="B33" s="684"/>
      <c r="C33" s="684"/>
      <c r="D33" s="702"/>
      <c r="E33" s="685">
        <f>D33-C33</f>
        <v>0</v>
      </c>
      <c r="F33" s="74"/>
    </row>
    <row r="34" spans="1:6" s="179" customFormat="1" ht="35.25">
      <c r="A34" s="36" t="s">
        <v>40</v>
      </c>
      <c r="B34" s="684">
        <f>B33+B32+B30+B29</f>
        <v>0</v>
      </c>
      <c r="C34" s="684">
        <f>C33+C32+C30+C29</f>
        <v>0</v>
      </c>
      <c r="D34" s="702">
        <f>D33+D32+D30+D29</f>
        <v>0</v>
      </c>
      <c r="E34" s="685">
        <f>D34-C34</f>
        <v>0</v>
      </c>
      <c r="F34" s="107"/>
    </row>
    <row r="35" spans="1:6" s="179" customFormat="1" ht="36" thickBot="1">
      <c r="A35" s="225" t="s">
        <v>41</v>
      </c>
      <c r="B35" s="712">
        <f>B27+B34</f>
        <v>43666568</v>
      </c>
      <c r="C35" s="712">
        <f>C27+C34</f>
        <v>46255226</v>
      </c>
      <c r="D35" s="713">
        <f>D27+D34</f>
        <v>48292680</v>
      </c>
      <c r="E35" s="714">
        <f>D35-C35</f>
        <v>2037454</v>
      </c>
      <c r="F35" s="107"/>
    </row>
    <row r="36" spans="1:6" ht="21" thickTop="1">
      <c r="A36" s="97"/>
      <c r="B36" s="98"/>
      <c r="C36" s="98"/>
      <c r="D36" s="98"/>
      <c r="E36" s="98"/>
      <c r="F36" s="98"/>
    </row>
    <row r="37" spans="1:5" ht="44.25">
      <c r="A37" s="122"/>
      <c r="B37" s="50"/>
      <c r="C37" s="50"/>
      <c r="D37" s="50"/>
      <c r="E37" s="50"/>
    </row>
    <row r="38" spans="1:6" ht="44.25">
      <c r="A38" s="53" t="s">
        <v>43</v>
      </c>
      <c r="B38" s="52"/>
      <c r="C38" s="52"/>
      <c r="D38" s="52"/>
      <c r="E38" s="52"/>
      <c r="F38" s="226"/>
    </row>
    <row r="39" spans="1:6" ht="44.25">
      <c r="A39" s="101"/>
      <c r="B39" s="52"/>
      <c r="C39" s="52"/>
      <c r="D39" s="52"/>
      <c r="E39" s="52"/>
      <c r="F39" s="226"/>
    </row>
    <row r="40" spans="2:6" ht="21" thickBot="1">
      <c r="B40" s="100"/>
      <c r="C40" s="100"/>
      <c r="D40" s="100"/>
      <c r="E40" s="100"/>
      <c r="F40" s="226"/>
    </row>
    <row r="41" spans="1:6" ht="36" thickTop="1">
      <c r="A41" s="227" t="s">
        <v>11</v>
      </c>
      <c r="B41" s="715" t="s">
        <v>44</v>
      </c>
      <c r="C41" s="715" t="s">
        <v>45</v>
      </c>
      <c r="D41" s="715" t="s">
        <v>45</v>
      </c>
      <c r="E41" s="716" t="s">
        <v>46</v>
      </c>
      <c r="F41" s="226"/>
    </row>
    <row r="42" spans="1:6" ht="35.25">
      <c r="A42" s="228"/>
      <c r="B42" s="717" t="s">
        <v>70</v>
      </c>
      <c r="C42" s="717" t="s">
        <v>70</v>
      </c>
      <c r="D42" s="718" t="s">
        <v>201</v>
      </c>
      <c r="E42" s="719" t="s">
        <v>70</v>
      </c>
      <c r="F42" s="230"/>
    </row>
    <row r="43" spans="1:6" ht="34.5">
      <c r="A43" s="229" t="s">
        <v>127</v>
      </c>
      <c r="B43" s="703">
        <f>SUM(B44:B45)</f>
        <v>185833</v>
      </c>
      <c r="C43" s="702">
        <f>SUM(C44:C45)</f>
        <v>192720</v>
      </c>
      <c r="D43" s="702">
        <f>SUM(D44:D45)</f>
        <v>185000</v>
      </c>
      <c r="E43" s="720">
        <f>D43-C43</f>
        <v>-7720</v>
      </c>
      <c r="F43" s="230"/>
    </row>
    <row r="44" spans="1:6" ht="34.5">
      <c r="A44" s="231" t="s">
        <v>128</v>
      </c>
      <c r="B44" s="703">
        <v>22230</v>
      </c>
      <c r="C44" s="702">
        <v>18000</v>
      </c>
      <c r="D44" s="702">
        <v>22000</v>
      </c>
      <c r="E44" s="720">
        <f>D44-C44</f>
        <v>4000</v>
      </c>
      <c r="F44" s="226"/>
    </row>
    <row r="45" spans="1:6" ht="35.25" thickBot="1">
      <c r="A45" s="730" t="s">
        <v>129</v>
      </c>
      <c r="B45" s="721">
        <f>163601+2</f>
        <v>163603</v>
      </c>
      <c r="C45" s="722">
        <v>174720</v>
      </c>
      <c r="D45" s="722">
        <v>163000</v>
      </c>
      <c r="E45" s="723">
        <f>D45-C45</f>
        <v>-11720</v>
      </c>
      <c r="F45" s="226"/>
    </row>
    <row r="46" spans="1:6" ht="15.75" thickBot="1">
      <c r="A46" s="232"/>
      <c r="B46" s="232"/>
      <c r="C46" s="724"/>
      <c r="D46" s="725"/>
      <c r="E46" s="232"/>
      <c r="F46" s="226"/>
    </row>
    <row r="47" spans="1:6" ht="34.5">
      <c r="A47" s="731" t="s">
        <v>130</v>
      </c>
      <c r="B47" s="726">
        <f>SUM(B48:B71)</f>
        <v>5561734</v>
      </c>
      <c r="C47" s="727">
        <f>SUM(C48:C71)</f>
        <v>5727967</v>
      </c>
      <c r="D47" s="727">
        <f>SUM(D48:D71)</f>
        <v>6465416</v>
      </c>
      <c r="E47" s="728">
        <f aca="true" t="shared" si="2" ref="E47:E71">D47-C47</f>
        <v>737449</v>
      </c>
      <c r="F47" s="230"/>
    </row>
    <row r="48" spans="1:6" ht="34.5">
      <c r="A48" s="231" t="s">
        <v>131</v>
      </c>
      <c r="B48" s="703">
        <v>12835</v>
      </c>
      <c r="C48" s="702">
        <f>53500-40000</f>
        <v>13500</v>
      </c>
      <c r="D48" s="702">
        <f>65500-51500</f>
        <v>14000</v>
      </c>
      <c r="E48" s="720">
        <f t="shared" si="2"/>
        <v>500</v>
      </c>
      <c r="F48" s="230"/>
    </row>
    <row r="49" spans="1:6" ht="34.5">
      <c r="A49" s="231" t="s">
        <v>132</v>
      </c>
      <c r="B49" s="703">
        <v>79887</v>
      </c>
      <c r="C49" s="702">
        <v>84060</v>
      </c>
      <c r="D49" s="702">
        <f>77990+10000</f>
        <v>87990</v>
      </c>
      <c r="E49" s="720">
        <f t="shared" si="2"/>
        <v>3930</v>
      </c>
      <c r="F49" s="230"/>
    </row>
    <row r="50" spans="1:6" ht="34.5">
      <c r="A50" s="231" t="s">
        <v>133</v>
      </c>
      <c r="B50" s="703">
        <v>267691</v>
      </c>
      <c r="C50" s="702">
        <v>299582</v>
      </c>
      <c r="D50" s="702">
        <v>344950</v>
      </c>
      <c r="E50" s="720">
        <f t="shared" si="2"/>
        <v>45368</v>
      </c>
      <c r="F50" s="230"/>
    </row>
    <row r="51" spans="1:6" ht="34.5">
      <c r="A51" s="231" t="s">
        <v>134</v>
      </c>
      <c r="B51" s="703">
        <v>226882</v>
      </c>
      <c r="C51" s="702">
        <v>227000</v>
      </c>
      <c r="D51" s="702">
        <v>226000</v>
      </c>
      <c r="E51" s="720">
        <f t="shared" si="2"/>
        <v>-1000</v>
      </c>
      <c r="F51" s="230"/>
    </row>
    <row r="52" spans="1:6" ht="34.5">
      <c r="A52" s="231" t="s">
        <v>135</v>
      </c>
      <c r="B52" s="703">
        <f>108120+202582+616+43865</f>
        <v>355183</v>
      </c>
      <c r="C52" s="702">
        <f>117000+145372+292+20000+58000+24000</f>
        <v>364664</v>
      </c>
      <c r="D52" s="702">
        <f>108000+182000+600+138000</f>
        <v>428600</v>
      </c>
      <c r="E52" s="720">
        <f t="shared" si="2"/>
        <v>63936</v>
      </c>
      <c r="F52" s="230"/>
    </row>
    <row r="53" spans="1:6" ht="34.5">
      <c r="A53" s="231" t="s">
        <v>136</v>
      </c>
      <c r="B53" s="703">
        <f>11638+4685+642675</f>
        <v>658998</v>
      </c>
      <c r="C53" s="702">
        <f>781800+9000+16000-82000</f>
        <v>724800</v>
      </c>
      <c r="D53" s="702">
        <f>791000+20000</f>
        <v>811000</v>
      </c>
      <c r="E53" s="720">
        <f t="shared" si="2"/>
        <v>86200</v>
      </c>
      <c r="F53" s="230"/>
    </row>
    <row r="54" spans="1:6" ht="34.5">
      <c r="A54" s="231" t="s">
        <v>137</v>
      </c>
      <c r="B54" s="703">
        <f>32968+15911</f>
        <v>48879</v>
      </c>
      <c r="C54" s="702">
        <f>41500+11500</f>
        <v>53000</v>
      </c>
      <c r="D54" s="702">
        <f>16000+32000+12500+1000-2000</f>
        <v>59500</v>
      </c>
      <c r="E54" s="720">
        <f t="shared" si="2"/>
        <v>6500</v>
      </c>
      <c r="F54" s="230"/>
    </row>
    <row r="55" spans="1:6" ht="34.5">
      <c r="A55" s="231" t="s">
        <v>138</v>
      </c>
      <c r="B55" s="703">
        <f>14000+13990+37665</f>
        <v>65655</v>
      </c>
      <c r="C55" s="702">
        <f>15500+16500+42000</f>
        <v>74000</v>
      </c>
      <c r="D55" s="702">
        <f>14000+37000+24000</f>
        <v>75000</v>
      </c>
      <c r="E55" s="720">
        <f t="shared" si="2"/>
        <v>1000</v>
      </c>
      <c r="F55" s="230"/>
    </row>
    <row r="56" spans="1:6" ht="34.5">
      <c r="A56" s="231" t="s">
        <v>139</v>
      </c>
      <c r="B56" s="703">
        <f>3819+1931+320+2056+1162+200+11680+275+93+4841+1650+6190+2750+450+9370+4373+1171</f>
        <v>52331</v>
      </c>
      <c r="C56" s="702">
        <f>4000+2000+500+1500+500+812+500+12000+500+6000+1000+6000+2000+8000+2000+500+4600</f>
        <v>52412</v>
      </c>
      <c r="D56" s="702">
        <f>30260+20000</f>
        <v>50260</v>
      </c>
      <c r="E56" s="720">
        <f t="shared" si="2"/>
        <v>-2152</v>
      </c>
      <c r="F56" s="230"/>
    </row>
    <row r="57" spans="1:6" ht="34.5">
      <c r="A57" s="231" t="s">
        <v>66</v>
      </c>
      <c r="B57" s="703">
        <v>195074</v>
      </c>
      <c r="C57" s="702">
        <v>203000</v>
      </c>
      <c r="D57" s="702">
        <v>214000</v>
      </c>
      <c r="E57" s="720">
        <f t="shared" si="2"/>
        <v>11000</v>
      </c>
      <c r="F57" s="230"/>
    </row>
    <row r="58" spans="1:6" ht="34.5">
      <c r="A58" s="231" t="s">
        <v>140</v>
      </c>
      <c r="B58" s="703">
        <v>312135</v>
      </c>
      <c r="C58" s="702">
        <f>422241-62400-40000</f>
        <v>319841</v>
      </c>
      <c r="D58" s="702">
        <v>437000</v>
      </c>
      <c r="E58" s="720">
        <f t="shared" si="2"/>
        <v>117159</v>
      </c>
      <c r="F58" s="230"/>
    </row>
    <row r="59" spans="1:6" ht="34.5">
      <c r="A59" s="231" t="s">
        <v>203</v>
      </c>
      <c r="B59" s="703">
        <v>160316</v>
      </c>
      <c r="C59" s="702">
        <v>160316</v>
      </c>
      <c r="D59" s="702">
        <f>156000+5000</f>
        <v>161000</v>
      </c>
      <c r="E59" s="720">
        <f t="shared" si="2"/>
        <v>684</v>
      </c>
      <c r="F59" s="230"/>
    </row>
    <row r="60" spans="1:6" ht="34.5">
      <c r="A60" s="231" t="s">
        <v>67</v>
      </c>
      <c r="B60" s="703">
        <f>152440+498+59159+400+4850+20395+3885+11454+400+76860+478991+98189+34295+65220+45881+1145+765+17665+3778+975+89805+3702</f>
        <v>1170752</v>
      </c>
      <c r="C60" s="702">
        <f>174000+500+60000+6000+22000+4000+11000+450+73038+477000+74353+33000+70000+46131+1500+1200+18000+5000+360+89867+4000</f>
        <v>1171399</v>
      </c>
      <c r="D60" s="702">
        <f>2600+54000+152000+500+59000+400+4800+20000+3800+11000+400+75000+478000+97000+34000+65000+45000+1000+700+17600+900+89000+3700</f>
        <v>1215400</v>
      </c>
      <c r="E60" s="720">
        <f t="shared" si="2"/>
        <v>44001</v>
      </c>
      <c r="F60" s="230"/>
    </row>
    <row r="61" spans="1:6" ht="34.5">
      <c r="A61" s="231" t="s">
        <v>141</v>
      </c>
      <c r="B61" s="703">
        <f>25575+14600+29050+300+59825+28000+58780+99420+63300+3400</f>
        <v>382250</v>
      </c>
      <c r="C61" s="702">
        <f>282320+18150+28950+39767+53526+71445+74571+18364+9568+58144-282320+9800</f>
        <v>382285</v>
      </c>
      <c r="D61" s="702">
        <f>20608+14684+26289+52908+3400+532909+53700-84500</f>
        <v>619998</v>
      </c>
      <c r="E61" s="720">
        <f t="shared" si="2"/>
        <v>237713</v>
      </c>
      <c r="F61" s="230"/>
    </row>
    <row r="62" spans="1:6" ht="34.5">
      <c r="A62" s="231" t="s">
        <v>65</v>
      </c>
      <c r="B62" s="703">
        <v>634635</v>
      </c>
      <c r="C62" s="702">
        <f>435500+138085-4110+161500-81500</f>
        <v>649475</v>
      </c>
      <c r="D62" s="702">
        <f>3220272+664637-312000-2822909-92600+51500-1</f>
        <v>708899</v>
      </c>
      <c r="E62" s="720">
        <f t="shared" si="2"/>
        <v>59424</v>
      </c>
      <c r="F62" s="230"/>
    </row>
    <row r="63" spans="1:6" ht="34.5">
      <c r="A63" s="231" t="s">
        <v>142</v>
      </c>
      <c r="B63" s="703">
        <v>0</v>
      </c>
      <c r="C63" s="702">
        <v>0</v>
      </c>
      <c r="D63" s="702">
        <v>0</v>
      </c>
      <c r="E63" s="720">
        <f t="shared" si="2"/>
        <v>0</v>
      </c>
      <c r="F63" s="230"/>
    </row>
    <row r="64" spans="1:6" ht="34.5">
      <c r="A64" s="231" t="s">
        <v>143</v>
      </c>
      <c r="B64" s="703">
        <v>442551</v>
      </c>
      <c r="C64" s="702">
        <v>442551</v>
      </c>
      <c r="D64" s="702">
        <v>447738</v>
      </c>
      <c r="E64" s="720">
        <f t="shared" si="2"/>
        <v>5187</v>
      </c>
      <c r="F64" s="230"/>
    </row>
    <row r="65" spans="1:6" ht="34.5">
      <c r="A65" s="231" t="s">
        <v>144</v>
      </c>
      <c r="B65" s="703">
        <v>202560</v>
      </c>
      <c r="C65" s="702">
        <v>209695</v>
      </c>
      <c r="D65" s="702">
        <v>268081</v>
      </c>
      <c r="E65" s="720">
        <f t="shared" si="2"/>
        <v>58386</v>
      </c>
      <c r="F65" s="230"/>
    </row>
    <row r="66" spans="1:6" ht="34.5">
      <c r="A66" s="231" t="s">
        <v>147</v>
      </c>
      <c r="B66" s="702">
        <v>12500</v>
      </c>
      <c r="C66" s="702">
        <v>12500</v>
      </c>
      <c r="D66" s="702">
        <v>12500</v>
      </c>
      <c r="E66" s="720">
        <f t="shared" si="2"/>
        <v>0</v>
      </c>
      <c r="F66" s="230"/>
    </row>
    <row r="67" spans="1:6" ht="34.5">
      <c r="A67" s="231" t="s">
        <v>150</v>
      </c>
      <c r="B67" s="702">
        <v>1253</v>
      </c>
      <c r="C67" s="702">
        <v>1567</v>
      </c>
      <c r="D67" s="702">
        <v>1000</v>
      </c>
      <c r="E67" s="720">
        <f t="shared" si="2"/>
        <v>-567</v>
      </c>
      <c r="F67" s="230"/>
    </row>
    <row r="68" spans="1:6" ht="34.5">
      <c r="A68" s="231" t="s">
        <v>145</v>
      </c>
      <c r="B68" s="702">
        <v>98939</v>
      </c>
      <c r="C68" s="702">
        <v>98940</v>
      </c>
      <c r="D68" s="702">
        <f>90000+9000</f>
        <v>99000</v>
      </c>
      <c r="E68" s="720">
        <f t="shared" si="2"/>
        <v>60</v>
      </c>
      <c r="F68" s="230"/>
    </row>
    <row r="69" spans="1:6" ht="34.5">
      <c r="A69" s="231" t="s">
        <v>149</v>
      </c>
      <c r="B69" s="706">
        <v>3001</v>
      </c>
      <c r="C69" s="706">
        <v>3500</v>
      </c>
      <c r="D69" s="706">
        <v>3000</v>
      </c>
      <c r="E69" s="729">
        <f t="shared" si="2"/>
        <v>-500</v>
      </c>
      <c r="F69" s="230"/>
    </row>
    <row r="70" spans="1:6" ht="34.5">
      <c r="A70" s="231" t="s">
        <v>146</v>
      </c>
      <c r="B70" s="702">
        <v>22050</v>
      </c>
      <c r="C70" s="702">
        <v>24500</v>
      </c>
      <c r="D70" s="702">
        <f>22000+3000</f>
        <v>25000</v>
      </c>
      <c r="E70" s="720">
        <f t="shared" si="2"/>
        <v>500</v>
      </c>
      <c r="F70" s="230"/>
    </row>
    <row r="71" spans="1:6" ht="35.25" thickBot="1">
      <c r="A71" s="730" t="s">
        <v>148</v>
      </c>
      <c r="B71" s="722">
        <v>155377</v>
      </c>
      <c r="C71" s="722">
        <v>155380</v>
      </c>
      <c r="D71" s="722">
        <f>150500+5000</f>
        <v>155500</v>
      </c>
      <c r="E71" s="723">
        <f t="shared" si="2"/>
        <v>120</v>
      </c>
      <c r="F71" s="230"/>
    </row>
    <row r="72" spans="1:6" ht="15">
      <c r="A72" s="220"/>
      <c r="B72" s="239"/>
      <c r="C72" s="240"/>
      <c r="D72" s="240"/>
      <c r="E72" s="240"/>
      <c r="F72"/>
    </row>
    <row r="73" spans="1:6" ht="15">
      <c r="A73" s="220"/>
      <c r="B73" s="239"/>
      <c r="C73" s="240"/>
      <c r="D73" s="240"/>
      <c r="E73" s="240"/>
      <c r="F73"/>
    </row>
    <row r="74" spans="1:6" ht="15">
      <c r="A74" s="220"/>
      <c r="B74" s="239"/>
      <c r="C74" s="240"/>
      <c r="D74" s="240"/>
      <c r="E74" s="240"/>
      <c r="F74"/>
    </row>
    <row r="75" spans="1:6" ht="15">
      <c r="A75" s="220"/>
      <c r="B75" s="239"/>
      <c r="C75" s="240"/>
      <c r="D75" s="240"/>
      <c r="E75" s="240"/>
      <c r="F75"/>
    </row>
    <row r="76" spans="1:6" ht="15">
      <c r="A76" s="220"/>
      <c r="B76" s="239"/>
      <c r="C76" s="240"/>
      <c r="D76" s="240"/>
      <c r="E76" s="240"/>
      <c r="F76"/>
    </row>
    <row r="77" spans="1:6" ht="15">
      <c r="A77" s="220"/>
      <c r="B77" s="239"/>
      <c r="C77" s="240"/>
      <c r="D77" s="240"/>
      <c r="E77" s="240"/>
      <c r="F77"/>
    </row>
    <row r="78" spans="1:6" ht="15">
      <c r="A78" s="220"/>
      <c r="B78" s="239"/>
      <c r="C78" s="240"/>
      <c r="D78" s="240"/>
      <c r="E78" s="240"/>
      <c r="F78"/>
    </row>
    <row r="79" spans="1:6" ht="15">
      <c r="A79" s="220"/>
      <c r="B79" s="239"/>
      <c r="C79" s="240"/>
      <c r="D79" s="240"/>
      <c r="E79" s="240"/>
      <c r="F79"/>
    </row>
    <row r="80" spans="1:6" ht="15">
      <c r="A80" s="220"/>
      <c r="B80" s="239"/>
      <c r="C80" s="240"/>
      <c r="D80" s="240"/>
      <c r="E80" s="240"/>
      <c r="F80"/>
    </row>
    <row r="81" spans="1:6" ht="15">
      <c r="A81" s="220"/>
      <c r="B81" s="239"/>
      <c r="C81" s="240"/>
      <c r="D81" s="240"/>
      <c r="E81" s="240"/>
      <c r="F81"/>
    </row>
    <row r="82" spans="1:6" ht="15">
      <c r="A82" s="220"/>
      <c r="B82" s="239"/>
      <c r="C82" s="240"/>
      <c r="D82" s="240"/>
      <c r="E82" s="240"/>
      <c r="F82"/>
    </row>
    <row r="83" spans="1:6" ht="15">
      <c r="A83" s="220"/>
      <c r="B83" s="239"/>
      <c r="C83" s="240"/>
      <c r="D83" s="240"/>
      <c r="E83" s="240"/>
      <c r="F83"/>
    </row>
    <row r="84" spans="1:6" s="179" customFormat="1" ht="15.75">
      <c r="A84" s="220"/>
      <c r="B84" s="239"/>
      <c r="C84" s="240"/>
      <c r="D84" s="240"/>
      <c r="E84" s="240"/>
      <c r="F84"/>
    </row>
    <row r="85" spans="1:6" ht="15">
      <c r="A85" s="220"/>
      <c r="B85" s="239"/>
      <c r="C85" s="240"/>
      <c r="D85" s="240"/>
      <c r="E85" s="240"/>
      <c r="F85"/>
    </row>
    <row r="86" spans="1:6" ht="15">
      <c r="A86" s="220"/>
      <c r="B86" s="239"/>
      <c r="C86" s="240"/>
      <c r="D86" s="240"/>
      <c r="E86" s="240"/>
      <c r="F86"/>
    </row>
    <row r="87" spans="1:6" ht="15">
      <c r="A87" s="220"/>
      <c r="B87" s="239"/>
      <c r="C87" s="240"/>
      <c r="D87" s="240"/>
      <c r="E87" s="240"/>
      <c r="F87"/>
    </row>
    <row r="88" spans="1:6" ht="15">
      <c r="A88" s="220"/>
      <c r="B88" s="239"/>
      <c r="C88" s="240"/>
      <c r="D88" s="240"/>
      <c r="E88" s="240"/>
      <c r="F88"/>
    </row>
    <row r="89" spans="1:6" ht="15">
      <c r="A89" s="220"/>
      <c r="B89" s="239"/>
      <c r="C89" s="240"/>
      <c r="D89" s="240"/>
      <c r="E89" s="240"/>
      <c r="F89"/>
    </row>
    <row r="90" spans="1:6" ht="15">
      <c r="A90" s="220"/>
      <c r="B90" s="239"/>
      <c r="C90" s="240"/>
      <c r="D90" s="240"/>
      <c r="E90" s="240"/>
      <c r="F90"/>
    </row>
    <row r="91" spans="1:6" ht="15">
      <c r="A91" s="220"/>
      <c r="B91" s="239"/>
      <c r="C91" s="240"/>
      <c r="D91" s="240"/>
      <c r="E91" s="240"/>
      <c r="F91"/>
    </row>
    <row r="92" spans="1:6" ht="15">
      <c r="A92" s="220"/>
      <c r="B92" s="239"/>
      <c r="C92" s="240"/>
      <c r="D92" s="240"/>
      <c r="E92" s="240"/>
      <c r="F92"/>
    </row>
    <row r="93" spans="1:6" ht="15">
      <c r="A93" s="220"/>
      <c r="B93" s="239"/>
      <c r="C93" s="240"/>
      <c r="D93" s="240"/>
      <c r="E93" s="240"/>
      <c r="F93"/>
    </row>
    <row r="94" spans="1:6" ht="15">
      <c r="A94" s="220"/>
      <c r="B94" s="239"/>
      <c r="C94" s="240"/>
      <c r="D94" s="240"/>
      <c r="E94" s="240"/>
      <c r="F94"/>
    </row>
    <row r="95" spans="1:6" ht="15">
      <c r="A95" s="220"/>
      <c r="B95" s="239"/>
      <c r="C95" s="240"/>
      <c r="D95" s="240"/>
      <c r="E95" s="240"/>
      <c r="F95"/>
    </row>
    <row r="96" spans="1:6" ht="15">
      <c r="A96" s="220"/>
      <c r="B96" s="239"/>
      <c r="C96" s="240"/>
      <c r="D96" s="240"/>
      <c r="E96" s="240"/>
      <c r="F96"/>
    </row>
    <row r="97" spans="1:6" ht="15">
      <c r="A97" s="220"/>
      <c r="B97" s="239"/>
      <c r="C97" s="240"/>
      <c r="D97" s="240"/>
      <c r="E97" s="240"/>
      <c r="F97"/>
    </row>
    <row r="98" spans="1:6" ht="15">
      <c r="A98" s="220"/>
      <c r="B98" s="239"/>
      <c r="C98" s="240"/>
      <c r="D98" s="240"/>
      <c r="E98" s="240"/>
      <c r="F98"/>
    </row>
    <row r="99" spans="1:6" ht="15">
      <c r="A99" s="220"/>
      <c r="B99" s="239"/>
      <c r="C99" s="240"/>
      <c r="D99" s="240"/>
      <c r="E99" s="240"/>
      <c r="F99"/>
    </row>
    <row r="100" spans="1:6" ht="15">
      <c r="A100" s="220"/>
      <c r="B100" s="239"/>
      <c r="C100" s="240"/>
      <c r="D100" s="240"/>
      <c r="E100" s="240"/>
      <c r="F100"/>
    </row>
    <row r="101" spans="1:6" ht="15">
      <c r="A101" s="220"/>
      <c r="B101" s="239"/>
      <c r="C101" s="240"/>
      <c r="D101" s="240"/>
      <c r="E101" s="240"/>
      <c r="F101"/>
    </row>
    <row r="102" spans="1:6" ht="15">
      <c r="A102" s="220"/>
      <c r="B102" s="239"/>
      <c r="C102" s="240"/>
      <c r="D102" s="240"/>
      <c r="E102" s="240"/>
      <c r="F102"/>
    </row>
    <row r="103" spans="1:6" ht="15">
      <c r="A103" s="220"/>
      <c r="B103" s="239"/>
      <c r="C103" s="240"/>
      <c r="D103" s="240"/>
      <c r="E103" s="240"/>
      <c r="F103"/>
    </row>
    <row r="104" spans="1:6" ht="15">
      <c r="A104" s="220"/>
      <c r="B104" s="239"/>
      <c r="C104" s="240"/>
      <c r="D104" s="240"/>
      <c r="E104" s="240"/>
      <c r="F104"/>
    </row>
    <row r="105" spans="1:6" ht="15">
      <c r="A105" s="220"/>
      <c r="B105" s="239"/>
      <c r="C105" s="240"/>
      <c r="D105" s="240"/>
      <c r="E105" s="240"/>
      <c r="F105"/>
    </row>
    <row r="106" spans="1:6" ht="15">
      <c r="A106" s="220"/>
      <c r="B106" s="239"/>
      <c r="C106" s="240"/>
      <c r="D106" s="240"/>
      <c r="E106" s="240"/>
      <c r="F106"/>
    </row>
    <row r="107" spans="1:6" ht="15">
      <c r="A107" s="220"/>
      <c r="B107" s="239"/>
      <c r="C107" s="240"/>
      <c r="D107" s="240"/>
      <c r="E107" s="240"/>
      <c r="F107"/>
    </row>
    <row r="108" spans="1:6" ht="15">
      <c r="A108" s="220"/>
      <c r="B108" s="239"/>
      <c r="C108" s="240"/>
      <c r="D108" s="240"/>
      <c r="E108" s="240"/>
      <c r="F108"/>
    </row>
    <row r="109" spans="1:6" ht="15">
      <c r="A109" s="220"/>
      <c r="B109" s="239"/>
      <c r="C109" s="240"/>
      <c r="D109" s="240"/>
      <c r="E109" s="240"/>
      <c r="F109"/>
    </row>
    <row r="110" spans="1:6" ht="15">
      <c r="A110" s="220"/>
      <c r="B110" s="239"/>
      <c r="C110" s="240"/>
      <c r="D110" s="240"/>
      <c r="E110" s="240"/>
      <c r="F110"/>
    </row>
    <row r="111" spans="1:6" ht="15">
      <c r="A111" s="220"/>
      <c r="B111" s="239"/>
      <c r="C111" s="240"/>
      <c r="D111" s="240"/>
      <c r="E111" s="240"/>
      <c r="F111"/>
    </row>
    <row r="112" spans="1:6" ht="15">
      <c r="A112" s="220"/>
      <c r="B112" s="239"/>
      <c r="C112" s="240"/>
      <c r="D112" s="240"/>
      <c r="E112" s="240"/>
      <c r="F112"/>
    </row>
    <row r="113" spans="1:6" ht="15">
      <c r="A113" s="220"/>
      <c r="B113" s="239"/>
      <c r="C113" s="240"/>
      <c r="D113" s="240"/>
      <c r="E113" s="240"/>
      <c r="F113"/>
    </row>
    <row r="114" spans="1:6" ht="15">
      <c r="A114" s="220"/>
      <c r="B114" s="239"/>
      <c r="C114" s="240"/>
      <c r="D114" s="240"/>
      <c r="E114" s="240"/>
      <c r="F114"/>
    </row>
    <row r="115" spans="1:6" ht="15">
      <c r="A115" s="220"/>
      <c r="B115" s="239"/>
      <c r="C115" s="240"/>
      <c r="D115" s="240"/>
      <c r="E115" s="240"/>
      <c r="F115"/>
    </row>
    <row r="116" spans="1:6" ht="15">
      <c r="A116" s="220"/>
      <c r="B116" s="239"/>
      <c r="C116" s="240"/>
      <c r="D116" s="240"/>
      <c r="E116" s="240"/>
      <c r="F116"/>
    </row>
    <row r="117" spans="1:6" ht="15">
      <c r="A117" s="220"/>
      <c r="B117" s="239"/>
      <c r="C117" s="240"/>
      <c r="D117" s="240"/>
      <c r="E117" s="240"/>
      <c r="F117"/>
    </row>
    <row r="118" spans="1:6" ht="15">
      <c r="A118" s="220"/>
      <c r="B118" s="239"/>
      <c r="C118" s="240"/>
      <c r="D118" s="240"/>
      <c r="E118" s="240"/>
      <c r="F118"/>
    </row>
    <row r="119" spans="1:6" ht="15">
      <c r="A119" s="220"/>
      <c r="B119" s="239"/>
      <c r="C119" s="240"/>
      <c r="D119" s="240"/>
      <c r="E119" s="240"/>
      <c r="F119"/>
    </row>
    <row r="120" spans="1:6" ht="15">
      <c r="A120" s="220"/>
      <c r="B120" s="239"/>
      <c r="C120" s="240"/>
      <c r="D120" s="240"/>
      <c r="E120" s="240"/>
      <c r="F120"/>
    </row>
    <row r="121" spans="1:6" ht="15">
      <c r="A121" s="220"/>
      <c r="B121" s="239"/>
      <c r="C121" s="240"/>
      <c r="D121" s="240"/>
      <c r="E121" s="240"/>
      <c r="F121"/>
    </row>
    <row r="122" spans="1:6" ht="15">
      <c r="A122" s="220"/>
      <c r="B122" s="239"/>
      <c r="C122" s="240"/>
      <c r="D122" s="240"/>
      <c r="E122" s="240"/>
      <c r="F122"/>
    </row>
    <row r="123" spans="1:6" ht="15">
      <c r="A123" s="220"/>
      <c r="B123" s="239"/>
      <c r="C123" s="240"/>
      <c r="D123" s="240"/>
      <c r="E123" s="240"/>
      <c r="F123"/>
    </row>
    <row r="124" spans="1:6" ht="15">
      <c r="A124" s="220"/>
      <c r="B124" s="239"/>
      <c r="C124" s="240"/>
      <c r="D124" s="240"/>
      <c r="E124" s="240"/>
      <c r="F124"/>
    </row>
    <row r="125" spans="1:6" ht="15">
      <c r="A125" s="220"/>
      <c r="B125" s="239"/>
      <c r="C125" s="240"/>
      <c r="D125" s="240"/>
      <c r="E125" s="240"/>
      <c r="F125"/>
    </row>
    <row r="126" spans="1:6" ht="15">
      <c r="A126" s="220"/>
      <c r="B126" s="239"/>
      <c r="C126" s="240"/>
      <c r="D126" s="240"/>
      <c r="E126" s="240"/>
      <c r="F126"/>
    </row>
    <row r="127" spans="1:6" ht="15">
      <c r="A127" s="220"/>
      <c r="B127" s="239"/>
      <c r="C127" s="240"/>
      <c r="D127" s="240"/>
      <c r="E127" s="240"/>
      <c r="F127"/>
    </row>
    <row r="128" spans="1:6" ht="15">
      <c r="A128" s="220"/>
      <c r="B128" s="239"/>
      <c r="C128" s="240"/>
      <c r="D128" s="240"/>
      <c r="E128" s="240"/>
      <c r="F128"/>
    </row>
    <row r="129" spans="1:6" ht="15">
      <c r="A129" s="220"/>
      <c r="B129" s="239"/>
      <c r="C129" s="240"/>
      <c r="D129" s="240"/>
      <c r="E129" s="240"/>
      <c r="F129"/>
    </row>
    <row r="130" spans="1:6" ht="15">
      <c r="A130" s="220"/>
      <c r="B130" s="239"/>
      <c r="C130" s="240"/>
      <c r="D130" s="240"/>
      <c r="E130" s="240"/>
      <c r="F130"/>
    </row>
    <row r="131" spans="1:6" ht="15">
      <c r="A131" s="220"/>
      <c r="B131" s="239"/>
      <c r="C131" s="240"/>
      <c r="D131" s="240"/>
      <c r="E131" s="240"/>
      <c r="F131"/>
    </row>
    <row r="132" spans="1:6" ht="15">
      <c r="A132" s="220"/>
      <c r="B132" s="239"/>
      <c r="C132" s="240"/>
      <c r="D132" s="240"/>
      <c r="E132" s="240"/>
      <c r="F132"/>
    </row>
    <row r="133" spans="1:6" ht="15">
      <c r="A133" s="220"/>
      <c r="B133" s="239"/>
      <c r="C133" s="240"/>
      <c r="D133" s="240"/>
      <c r="E133" s="240"/>
      <c r="F133"/>
    </row>
    <row r="134" spans="1:6" ht="15">
      <c r="A134" s="220"/>
      <c r="B134" s="239"/>
      <c r="C134" s="240"/>
      <c r="D134" s="240"/>
      <c r="E134" s="240"/>
      <c r="F134"/>
    </row>
    <row r="135" spans="1:6" ht="15">
      <c r="A135" s="220"/>
      <c r="B135" s="239"/>
      <c r="C135" s="240"/>
      <c r="D135" s="240"/>
      <c r="E135" s="240"/>
      <c r="F135"/>
    </row>
    <row r="136" spans="1:6" ht="15">
      <c r="A136" s="220"/>
      <c r="B136" s="239"/>
      <c r="C136" s="240"/>
      <c r="D136" s="240"/>
      <c r="E136" s="240"/>
      <c r="F136"/>
    </row>
    <row r="137" spans="1:6" ht="15">
      <c r="A137" s="220"/>
      <c r="B137" s="239"/>
      <c r="C137" s="240"/>
      <c r="D137" s="240"/>
      <c r="E137" s="240"/>
      <c r="F137"/>
    </row>
    <row r="138" spans="1:6" ht="15">
      <c r="A138" s="220"/>
      <c r="B138" s="239"/>
      <c r="C138" s="240"/>
      <c r="D138" s="240"/>
      <c r="E138" s="240"/>
      <c r="F138"/>
    </row>
    <row r="139" spans="1:6" ht="15">
      <c r="A139" s="220"/>
      <c r="B139" s="239"/>
      <c r="C139" s="240"/>
      <c r="D139" s="240"/>
      <c r="E139" s="240"/>
      <c r="F139"/>
    </row>
    <row r="140" spans="1:6" ht="15">
      <c r="A140" s="220"/>
      <c r="B140" s="239"/>
      <c r="C140" s="240"/>
      <c r="D140" s="240"/>
      <c r="E140" s="240"/>
      <c r="F140"/>
    </row>
    <row r="141" spans="1:6" ht="15">
      <c r="A141" s="220"/>
      <c r="B141" s="239"/>
      <c r="C141" s="240"/>
      <c r="D141" s="240"/>
      <c r="E141" s="240"/>
      <c r="F141"/>
    </row>
    <row r="142" spans="1:6" ht="15">
      <c r="A142" s="220"/>
      <c r="B142" s="239"/>
      <c r="C142" s="240"/>
      <c r="D142" s="240"/>
      <c r="E142" s="240"/>
      <c r="F142"/>
    </row>
    <row r="143" spans="1:6" ht="15">
      <c r="A143" s="220"/>
      <c r="B143" s="239"/>
      <c r="C143" s="240"/>
      <c r="D143" s="240"/>
      <c r="E143" s="240"/>
      <c r="F143"/>
    </row>
    <row r="144" spans="1:6" ht="15">
      <c r="A144" s="220"/>
      <c r="B144" s="239"/>
      <c r="C144" s="240"/>
      <c r="D144" s="240"/>
      <c r="E144" s="240"/>
      <c r="F144"/>
    </row>
    <row r="145" spans="1:6" ht="15">
      <c r="A145" s="220"/>
      <c r="B145" s="239"/>
      <c r="C145" s="240"/>
      <c r="D145" s="240"/>
      <c r="E145" s="240"/>
      <c r="F145"/>
    </row>
    <row r="146" spans="1:6" ht="15">
      <c r="A146" s="220"/>
      <c r="B146" s="239"/>
      <c r="C146" s="240"/>
      <c r="D146" s="240"/>
      <c r="E146" s="240"/>
      <c r="F146"/>
    </row>
    <row r="147" spans="1:6" ht="15">
      <c r="A147" s="220"/>
      <c r="B147" s="239"/>
      <c r="C147" s="240"/>
      <c r="D147" s="240"/>
      <c r="E147" s="240"/>
      <c r="F147"/>
    </row>
    <row r="148" spans="1:6" ht="15">
      <c r="A148" s="220"/>
      <c r="B148" s="239"/>
      <c r="C148" s="240"/>
      <c r="D148" s="240"/>
      <c r="E148" s="240"/>
      <c r="F148"/>
    </row>
    <row r="149" spans="1:6" ht="15">
      <c r="A149" s="220"/>
      <c r="B149" s="239"/>
      <c r="C149" s="240"/>
      <c r="D149" s="240"/>
      <c r="E149" s="240"/>
      <c r="F149"/>
    </row>
    <row r="150" spans="1:6" ht="15">
      <c r="A150" s="220"/>
      <c r="B150" s="239"/>
      <c r="C150" s="240"/>
      <c r="D150" s="240"/>
      <c r="E150" s="240"/>
      <c r="F150"/>
    </row>
    <row r="151" spans="1:6" ht="15">
      <c r="A151" s="220"/>
      <c r="B151" s="239"/>
      <c r="C151" s="240"/>
      <c r="D151" s="240"/>
      <c r="E151" s="240"/>
      <c r="F151"/>
    </row>
    <row r="152" spans="1:6" ht="15">
      <c r="A152" s="220"/>
      <c r="B152" s="239"/>
      <c r="C152" s="240"/>
      <c r="D152" s="240"/>
      <c r="E152" s="240"/>
      <c r="F152"/>
    </row>
    <row r="153" spans="1:6" ht="15">
      <c r="A153" s="220"/>
      <c r="B153" s="239"/>
      <c r="C153" s="240"/>
      <c r="D153" s="240"/>
      <c r="E153" s="240"/>
      <c r="F153"/>
    </row>
    <row r="154" spans="1:6" ht="15">
      <c r="A154" s="220"/>
      <c r="B154" s="239"/>
      <c r="C154" s="240"/>
      <c r="D154" s="240"/>
      <c r="E154" s="240"/>
      <c r="F154"/>
    </row>
    <row r="155" spans="1:6" ht="15">
      <c r="A155" s="220"/>
      <c r="B155" s="239"/>
      <c r="C155" s="240"/>
      <c r="D155" s="240"/>
      <c r="E155" s="240"/>
      <c r="F155"/>
    </row>
    <row r="156" spans="1:6" ht="15">
      <c r="A156" s="220"/>
      <c r="B156" s="239"/>
      <c r="C156" s="240"/>
      <c r="D156" s="240"/>
      <c r="E156" s="240"/>
      <c r="F156"/>
    </row>
    <row r="157" spans="1:6" ht="15">
      <c r="A157" s="220"/>
      <c r="B157" s="239"/>
      <c r="C157" s="240"/>
      <c r="D157" s="240"/>
      <c r="E157" s="240"/>
      <c r="F157"/>
    </row>
    <row r="158" spans="1:6" ht="15">
      <c r="A158" s="220"/>
      <c r="B158" s="239"/>
      <c r="C158" s="240"/>
      <c r="D158" s="240"/>
      <c r="E158" s="240"/>
      <c r="F158"/>
    </row>
    <row r="159" spans="1:6" ht="15">
      <c r="A159" s="220"/>
      <c r="B159" s="239"/>
      <c r="C159" s="240"/>
      <c r="D159" s="240"/>
      <c r="E159" s="240"/>
      <c r="F159"/>
    </row>
    <row r="160" spans="1:6" ht="15">
      <c r="A160" s="220"/>
      <c r="B160" s="239"/>
      <c r="C160" s="240"/>
      <c r="D160" s="240"/>
      <c r="E160" s="240"/>
      <c r="F160"/>
    </row>
    <row r="161" spans="1:6" ht="15">
      <c r="A161" s="220"/>
      <c r="B161" s="239"/>
      <c r="C161" s="240"/>
      <c r="D161" s="240"/>
      <c r="E161" s="240"/>
      <c r="F161"/>
    </row>
    <row r="162" spans="1:6" ht="15">
      <c r="A162" s="220"/>
      <c r="B162" s="239"/>
      <c r="C162" s="240"/>
      <c r="D162" s="240"/>
      <c r="E162" s="240"/>
      <c r="F162"/>
    </row>
    <row r="163" spans="1:6" ht="15">
      <c r="A163" s="220"/>
      <c r="B163" s="239"/>
      <c r="C163" s="240"/>
      <c r="D163" s="240"/>
      <c r="E163" s="240"/>
      <c r="F163"/>
    </row>
    <row r="164" spans="1:6" ht="15">
      <c r="A164" s="220"/>
      <c r="B164" s="239"/>
      <c r="C164" s="240"/>
      <c r="D164" s="240"/>
      <c r="E164" s="240"/>
      <c r="F164"/>
    </row>
    <row r="165" spans="1:6" ht="15">
      <c r="A165" s="220"/>
      <c r="B165" s="239"/>
      <c r="C165" s="240"/>
      <c r="D165" s="240"/>
      <c r="E165" s="240"/>
      <c r="F165"/>
    </row>
    <row r="166" spans="1:6" ht="15">
      <c r="A166" s="220"/>
      <c r="B166" s="239"/>
      <c r="C166" s="240"/>
      <c r="D166" s="240"/>
      <c r="E166" s="240"/>
      <c r="F166"/>
    </row>
    <row r="167" spans="1:6" ht="15">
      <c r="A167" s="220"/>
      <c r="B167" s="239"/>
      <c r="C167" s="240"/>
      <c r="D167" s="240"/>
      <c r="E167" s="240"/>
      <c r="F167"/>
    </row>
    <row r="168" spans="1:6" ht="15">
      <c r="A168" s="220"/>
      <c r="B168" s="239"/>
      <c r="C168" s="240"/>
      <c r="D168" s="240"/>
      <c r="E168" s="240"/>
      <c r="F168"/>
    </row>
    <row r="169" spans="1:6" ht="15">
      <c r="A169" s="220"/>
      <c r="B169" s="239"/>
      <c r="C169" s="240"/>
      <c r="D169" s="240"/>
      <c r="E169" s="240"/>
      <c r="F169"/>
    </row>
    <row r="170" spans="1:6" ht="15">
      <c r="A170" s="220"/>
      <c r="B170" s="239"/>
      <c r="C170" s="240"/>
      <c r="D170" s="240"/>
      <c r="E170" s="240"/>
      <c r="F170"/>
    </row>
    <row r="171" spans="1:6" ht="15">
      <c r="A171" s="220"/>
      <c r="B171" s="239"/>
      <c r="C171" s="240"/>
      <c r="D171" s="240"/>
      <c r="E171" s="240"/>
      <c r="F171"/>
    </row>
    <row r="172" spans="1:6" ht="15">
      <c r="A172" s="220"/>
      <c r="B172" s="239"/>
      <c r="C172" s="240"/>
      <c r="D172" s="240"/>
      <c r="E172" s="240"/>
      <c r="F172"/>
    </row>
    <row r="173" spans="1:6" ht="15">
      <c r="A173" s="220"/>
      <c r="B173" s="239"/>
      <c r="C173" s="240"/>
      <c r="D173" s="240"/>
      <c r="E173" s="240"/>
      <c r="F173"/>
    </row>
    <row r="174" spans="1:6" ht="15">
      <c r="A174" s="220"/>
      <c r="B174" s="239"/>
      <c r="C174" s="240"/>
      <c r="D174" s="240"/>
      <c r="E174" s="240"/>
      <c r="F174"/>
    </row>
    <row r="175" spans="1:6" ht="15">
      <c r="A175" s="220"/>
      <c r="B175" s="239"/>
      <c r="C175" s="240"/>
      <c r="D175" s="240"/>
      <c r="E175" s="240"/>
      <c r="F175"/>
    </row>
    <row r="176" spans="1:6" ht="15">
      <c r="A176" s="220"/>
      <c r="B176" s="239"/>
      <c r="C176" s="240"/>
      <c r="D176" s="240"/>
      <c r="E176" s="240"/>
      <c r="F176"/>
    </row>
    <row r="177" spans="1:6" ht="15">
      <c r="A177" s="220"/>
      <c r="B177" s="239"/>
      <c r="C177" s="240"/>
      <c r="D177" s="240"/>
      <c r="E177" s="240"/>
      <c r="F17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="30" zoomScaleNormal="30" zoomScalePageLayoutView="0" workbookViewId="0" topLeftCell="B1">
      <selection activeCell="K26" sqref="K26"/>
    </sheetView>
  </sheetViews>
  <sheetFormatPr defaultColWidth="9.6640625" defaultRowHeight="15"/>
  <cols>
    <col min="1" max="1" width="133.5546875" style="75" customWidth="1"/>
    <col min="2" max="2" width="60.5546875" style="217" customWidth="1"/>
    <col min="3" max="3" width="60.77734375" style="217" customWidth="1"/>
    <col min="4" max="4" width="61.10546875" style="217" customWidth="1"/>
    <col min="5" max="5" width="60.77734375" style="217" customWidth="1"/>
    <col min="6" max="16384" width="9.6640625" style="75" customWidth="1"/>
  </cols>
  <sheetData>
    <row r="1" spans="1:5" s="52" customFormat="1" ht="45">
      <c r="A1" s="9" t="s">
        <v>2</v>
      </c>
      <c r="B1" s="208" t="s">
        <v>3</v>
      </c>
      <c r="C1" s="455" t="s">
        <v>180</v>
      </c>
      <c r="D1" s="70"/>
      <c r="E1" s="69"/>
    </row>
    <row r="2" spans="1:5" s="52" customFormat="1" ht="45">
      <c r="A2" s="9" t="s">
        <v>9</v>
      </c>
      <c r="B2" s="233"/>
      <c r="C2" s="209"/>
      <c r="D2" s="209"/>
      <c r="E2" s="209"/>
    </row>
    <row r="3" spans="1:5" s="52" customFormat="1" ht="45.75" thickBot="1">
      <c r="A3" s="10" t="s">
        <v>10</v>
      </c>
      <c r="B3" s="208"/>
      <c r="C3" s="210"/>
      <c r="D3" s="210"/>
      <c r="E3" s="210"/>
    </row>
    <row r="4" spans="1:5" ht="36" thickTop="1">
      <c r="A4" s="34" t="s">
        <v>11</v>
      </c>
      <c r="B4" s="234" t="s">
        <v>44</v>
      </c>
      <c r="C4" s="235" t="s">
        <v>45</v>
      </c>
      <c r="D4" s="235" t="s">
        <v>45</v>
      </c>
      <c r="E4" s="234" t="s">
        <v>46</v>
      </c>
    </row>
    <row r="5" spans="1:5" ht="35.25">
      <c r="A5" s="35"/>
      <c r="B5" s="76" t="s">
        <v>70</v>
      </c>
      <c r="C5" s="76" t="s">
        <v>70</v>
      </c>
      <c r="D5" s="76" t="s">
        <v>201</v>
      </c>
      <c r="E5" s="77" t="s">
        <v>70</v>
      </c>
    </row>
    <row r="6" spans="1:5" ht="35.25">
      <c r="A6" s="36" t="s">
        <v>12</v>
      </c>
      <c r="B6" s="196"/>
      <c r="C6" s="196"/>
      <c r="D6" s="196"/>
      <c r="E6" s="197"/>
    </row>
    <row r="7" spans="1:5" ht="34.5">
      <c r="A7" s="35" t="s">
        <v>13</v>
      </c>
      <c r="B7" s="522">
        <v>0</v>
      </c>
      <c r="C7" s="205">
        <v>0</v>
      </c>
      <c r="D7" s="205">
        <v>0</v>
      </c>
      <c r="E7" s="523">
        <v>0</v>
      </c>
    </row>
    <row r="8" spans="1:5" ht="34.5">
      <c r="A8" s="37" t="s">
        <v>14</v>
      </c>
      <c r="B8" s="247">
        <v>0</v>
      </c>
      <c r="C8" s="196">
        <v>0</v>
      </c>
      <c r="D8" s="196">
        <v>0</v>
      </c>
      <c r="E8" s="197">
        <v>0</v>
      </c>
    </row>
    <row r="9" spans="1:5" ht="34.5">
      <c r="A9" s="38" t="s">
        <v>15</v>
      </c>
      <c r="B9" s="247">
        <v>0</v>
      </c>
      <c r="C9" s="196">
        <v>0</v>
      </c>
      <c r="D9" s="196">
        <v>0</v>
      </c>
      <c r="E9" s="197">
        <v>0</v>
      </c>
    </row>
    <row r="10" spans="1:5" ht="34.5">
      <c r="A10" s="39" t="s">
        <v>16</v>
      </c>
      <c r="B10" s="247">
        <v>0</v>
      </c>
      <c r="C10" s="196">
        <v>0</v>
      </c>
      <c r="D10" s="196">
        <v>0</v>
      </c>
      <c r="E10" s="197">
        <v>0</v>
      </c>
    </row>
    <row r="11" spans="1:5" ht="34.5">
      <c r="A11" s="39" t="s">
        <v>17</v>
      </c>
      <c r="B11" s="247">
        <v>0</v>
      </c>
      <c r="C11" s="196">
        <v>0</v>
      </c>
      <c r="D11" s="196">
        <v>0</v>
      </c>
      <c r="E11" s="197">
        <v>0</v>
      </c>
    </row>
    <row r="12" spans="1:5" s="179" customFormat="1" ht="35.25">
      <c r="A12" s="40" t="s">
        <v>18</v>
      </c>
      <c r="B12" s="525">
        <f>SUM(B7:B11)</f>
        <v>0</v>
      </c>
      <c r="C12" s="526">
        <v>0</v>
      </c>
      <c r="D12" s="526">
        <v>0</v>
      </c>
      <c r="E12" s="527">
        <v>0</v>
      </c>
    </row>
    <row r="13" spans="1:5" ht="35.25">
      <c r="A13" s="36" t="s">
        <v>19</v>
      </c>
      <c r="B13" s="196"/>
      <c r="C13" s="196"/>
      <c r="D13" s="196"/>
      <c r="E13" s="197"/>
    </row>
    <row r="14" spans="1:5" ht="35.25">
      <c r="A14" s="41" t="s">
        <v>20</v>
      </c>
      <c r="B14" s="205"/>
      <c r="C14" s="205"/>
      <c r="D14" s="205"/>
      <c r="E14" s="523"/>
    </row>
    <row r="15" spans="1:5" ht="34.5">
      <c r="A15" s="250" t="s">
        <v>151</v>
      </c>
      <c r="B15" s="522">
        <v>12307528</v>
      </c>
      <c r="C15" s="205">
        <v>12327315</v>
      </c>
      <c r="D15" s="205">
        <v>13917059</v>
      </c>
      <c r="E15" s="523">
        <v>1589744</v>
      </c>
    </row>
    <row r="16" spans="1:5" ht="34.5">
      <c r="A16" s="248" t="s">
        <v>152</v>
      </c>
      <c r="B16" s="247">
        <v>8080017</v>
      </c>
      <c r="C16" s="196">
        <v>7029451</v>
      </c>
      <c r="D16" s="196">
        <v>8029451</v>
      </c>
      <c r="E16" s="197">
        <v>1000000</v>
      </c>
    </row>
    <row r="17" spans="1:5" ht="34.5">
      <c r="A17" s="248" t="s">
        <v>153</v>
      </c>
      <c r="B17" s="247">
        <v>1269078</v>
      </c>
      <c r="C17" s="196">
        <v>1293000</v>
      </c>
      <c r="D17" s="196">
        <v>1293000</v>
      </c>
      <c r="E17" s="197">
        <v>0</v>
      </c>
    </row>
    <row r="18" spans="1:5" ht="34.5">
      <c r="A18" s="248" t="s">
        <v>154</v>
      </c>
      <c r="B18" s="247">
        <v>699925</v>
      </c>
      <c r="C18" s="196">
        <v>710000</v>
      </c>
      <c r="D18" s="196">
        <v>482268</v>
      </c>
      <c r="E18" s="197">
        <v>72268</v>
      </c>
    </row>
    <row r="19" spans="1:5" ht="34.5">
      <c r="A19" s="248" t="s">
        <v>204</v>
      </c>
      <c r="B19" s="247">
        <v>791317</v>
      </c>
      <c r="C19" s="196">
        <v>578428</v>
      </c>
      <c r="D19" s="196">
        <v>745030</v>
      </c>
      <c r="E19" s="197">
        <v>166602</v>
      </c>
    </row>
    <row r="20" spans="1:5" ht="35.25">
      <c r="A20" s="524" t="s">
        <v>26</v>
      </c>
      <c r="B20" s="525">
        <v>23147865</v>
      </c>
      <c r="C20" s="526">
        <v>21938194</v>
      </c>
      <c r="D20" s="526">
        <v>24766808</v>
      </c>
      <c r="E20" s="527">
        <v>2828614</v>
      </c>
    </row>
    <row r="21" spans="1:5" ht="34.5">
      <c r="A21" s="43" t="s">
        <v>27</v>
      </c>
      <c r="B21" s="247">
        <v>0</v>
      </c>
      <c r="C21" s="196"/>
      <c r="D21" s="196">
        <v>0</v>
      </c>
      <c r="E21" s="197"/>
    </row>
    <row r="22" spans="1:5" ht="34.5">
      <c r="A22" s="42" t="s">
        <v>28</v>
      </c>
      <c r="B22" s="247">
        <v>0</v>
      </c>
      <c r="C22" s="196"/>
      <c r="D22" s="196">
        <v>0</v>
      </c>
      <c r="E22" s="197"/>
    </row>
    <row r="23" spans="1:5" ht="34.5">
      <c r="A23" s="44" t="s">
        <v>155</v>
      </c>
      <c r="B23" s="247">
        <v>0</v>
      </c>
      <c r="C23" s="196">
        <v>1230000</v>
      </c>
      <c r="D23" s="196">
        <v>0</v>
      </c>
      <c r="E23" s="197">
        <v>-1230000</v>
      </c>
    </row>
    <row r="24" spans="1:5" s="179" customFormat="1" ht="34.5">
      <c r="A24" s="38" t="s">
        <v>30</v>
      </c>
      <c r="B24" s="247">
        <v>0</v>
      </c>
      <c r="C24" s="196"/>
      <c r="D24" s="196">
        <v>0</v>
      </c>
      <c r="E24" s="197"/>
    </row>
    <row r="25" spans="1:5" s="179" customFormat="1" ht="34.5">
      <c r="A25" s="42" t="s">
        <v>31</v>
      </c>
      <c r="B25" s="247">
        <v>0</v>
      </c>
      <c r="C25" s="196"/>
      <c r="D25" s="196">
        <v>0</v>
      </c>
      <c r="E25" s="197"/>
    </row>
    <row r="26" spans="1:5" ht="35.25">
      <c r="A26" s="249" t="s">
        <v>156</v>
      </c>
      <c r="B26" s="247">
        <v>1198356</v>
      </c>
      <c r="C26" s="196">
        <v>1408745</v>
      </c>
      <c r="D26" s="196">
        <v>1145759</v>
      </c>
      <c r="E26" s="197">
        <v>-262986</v>
      </c>
    </row>
    <row r="27" spans="1:5" ht="35.25">
      <c r="A27" s="45" t="s">
        <v>33</v>
      </c>
      <c r="B27" s="525">
        <f>SUM(B20:B26)</f>
        <v>24346221</v>
      </c>
      <c r="C27" s="525">
        <f>SUM(C20:C26)</f>
        <v>24576939</v>
      </c>
      <c r="D27" s="525">
        <f>SUM(D20:D26)</f>
        <v>25912567</v>
      </c>
      <c r="E27" s="525">
        <f>SUM(E20:E26)</f>
        <v>1335628</v>
      </c>
    </row>
    <row r="28" spans="1:5" ht="35.25">
      <c r="A28" s="41" t="s">
        <v>34</v>
      </c>
      <c r="B28" s="196"/>
      <c r="C28" s="196"/>
      <c r="D28" s="196"/>
      <c r="E28" s="197"/>
    </row>
    <row r="29" spans="1:5" ht="34.5">
      <c r="A29" s="46" t="s">
        <v>35</v>
      </c>
      <c r="B29" s="522">
        <v>0</v>
      </c>
      <c r="C29" s="205">
        <v>0</v>
      </c>
      <c r="D29" s="205">
        <v>0</v>
      </c>
      <c r="E29" s="523">
        <v>0</v>
      </c>
    </row>
    <row r="30" spans="1:5" ht="34.5">
      <c r="A30" s="37" t="s">
        <v>36</v>
      </c>
      <c r="B30" s="247">
        <v>0</v>
      </c>
      <c r="C30" s="196">
        <v>0</v>
      </c>
      <c r="D30" s="196">
        <v>0</v>
      </c>
      <c r="E30" s="197">
        <v>0</v>
      </c>
    </row>
    <row r="31" spans="1:5" ht="34.5">
      <c r="A31" s="42" t="s">
        <v>157</v>
      </c>
      <c r="B31" s="247">
        <v>0</v>
      </c>
      <c r="C31" s="196">
        <v>0</v>
      </c>
      <c r="D31" s="196">
        <v>0</v>
      </c>
      <c r="E31" s="197">
        <v>0</v>
      </c>
    </row>
    <row r="32" spans="1:5" ht="34.5">
      <c r="A32" s="37" t="s">
        <v>158</v>
      </c>
      <c r="B32" s="247">
        <v>0</v>
      </c>
      <c r="C32" s="196">
        <v>0</v>
      </c>
      <c r="D32" s="196">
        <v>0</v>
      </c>
      <c r="E32" s="197">
        <v>0</v>
      </c>
    </row>
    <row r="33" spans="1:5" ht="35.25">
      <c r="A33" s="36" t="s">
        <v>40</v>
      </c>
      <c r="B33" s="525">
        <v>0</v>
      </c>
      <c r="C33" s="526">
        <v>0</v>
      </c>
      <c r="D33" s="526">
        <v>0</v>
      </c>
      <c r="E33" s="527">
        <v>0</v>
      </c>
    </row>
    <row r="34" spans="1:5" ht="36" thickBot="1">
      <c r="A34" s="140" t="s">
        <v>159</v>
      </c>
      <c r="B34" s="529">
        <f>B27</f>
        <v>24346221</v>
      </c>
      <c r="C34" s="529">
        <f>C27</f>
        <v>24576939</v>
      </c>
      <c r="D34" s="529">
        <f>D27</f>
        <v>25912567</v>
      </c>
      <c r="E34" s="528">
        <v>1335628</v>
      </c>
    </row>
    <row r="35" spans="1:5" ht="15.75" thickTop="1">
      <c r="A35" s="220"/>
      <c r="B35" s="239"/>
      <c r="C35" s="239"/>
      <c r="D35" s="239"/>
      <c r="E35" s="239"/>
    </row>
    <row r="36" spans="1:5" ht="15">
      <c r="A36" s="220"/>
      <c r="B36" s="239"/>
      <c r="C36" s="240"/>
      <c r="D36" s="240"/>
      <c r="E36" s="240"/>
    </row>
    <row r="37" spans="1:5" ht="15">
      <c r="A37" s="220"/>
      <c r="B37" s="239"/>
      <c r="C37" s="240"/>
      <c r="D37" s="240"/>
      <c r="E37" s="240"/>
    </row>
    <row r="38" spans="1:5" ht="15">
      <c r="A38" s="220"/>
      <c r="B38" s="239"/>
      <c r="C38" s="240"/>
      <c r="D38" s="240"/>
      <c r="E38" s="240"/>
    </row>
    <row r="39" spans="1:5" ht="15">
      <c r="A39" s="220"/>
      <c r="B39" s="239"/>
      <c r="C39" s="240"/>
      <c r="D39" s="240"/>
      <c r="E39" s="240"/>
    </row>
    <row r="40" spans="1:5" ht="15">
      <c r="A40" s="220"/>
      <c r="B40" s="239"/>
      <c r="C40" s="240"/>
      <c r="D40" s="240"/>
      <c r="E40" s="240"/>
    </row>
    <row r="41" spans="1:5" ht="15">
      <c r="A41" s="220"/>
      <c r="B41" s="239"/>
      <c r="C41" s="240"/>
      <c r="D41" s="240"/>
      <c r="E41" s="240"/>
    </row>
    <row r="42" spans="1:5" ht="15">
      <c r="A42" s="220"/>
      <c r="B42" s="239"/>
      <c r="C42" s="240"/>
      <c r="D42" s="240"/>
      <c r="E42" s="240"/>
    </row>
    <row r="43" spans="1:5" ht="15">
      <c r="A43" s="220"/>
      <c r="B43" s="239"/>
      <c r="C43" s="240"/>
      <c r="D43" s="240"/>
      <c r="E43" s="240"/>
    </row>
    <row r="44" spans="1:5" ht="15">
      <c r="A44" s="220"/>
      <c r="B44" s="239"/>
      <c r="C44" s="240"/>
      <c r="D44" s="240"/>
      <c r="E44" s="240"/>
    </row>
    <row r="45" spans="1:5" ht="15">
      <c r="A45" s="220"/>
      <c r="B45" s="239"/>
      <c r="C45" s="240"/>
      <c r="D45" s="240"/>
      <c r="E45" s="240"/>
    </row>
    <row r="46" spans="1:5" ht="15">
      <c r="A46" s="220"/>
      <c r="B46" s="239"/>
      <c r="C46" s="240"/>
      <c r="D46" s="240"/>
      <c r="E46" s="240"/>
    </row>
    <row r="47" spans="1:5" ht="15">
      <c r="A47" s="220"/>
      <c r="B47" s="239"/>
      <c r="C47" s="240"/>
      <c r="D47" s="240"/>
      <c r="E47" s="240"/>
    </row>
    <row r="48" spans="1:5" ht="15">
      <c r="A48" s="220"/>
      <c r="B48" s="239"/>
      <c r="C48" s="240"/>
      <c r="D48" s="240"/>
      <c r="E48" s="240"/>
    </row>
    <row r="49" spans="1:5" ht="15">
      <c r="A49" s="220"/>
      <c r="B49" s="239"/>
      <c r="C49" s="240"/>
      <c r="D49" s="240"/>
      <c r="E49" s="240"/>
    </row>
    <row r="50" spans="1:5" ht="15">
      <c r="A50" s="220"/>
      <c r="B50" s="239"/>
      <c r="C50" s="240"/>
      <c r="D50" s="240"/>
      <c r="E50" s="240"/>
    </row>
    <row r="51" spans="1:5" ht="15">
      <c r="A51" s="220"/>
      <c r="B51" s="239"/>
      <c r="C51" s="240"/>
      <c r="D51" s="240"/>
      <c r="E51" s="240"/>
    </row>
    <row r="52" spans="1:5" ht="15">
      <c r="A52" s="220"/>
      <c r="B52" s="239"/>
      <c r="C52" s="240"/>
      <c r="D52" s="240"/>
      <c r="E52" s="240"/>
    </row>
    <row r="53" spans="1:5" ht="15">
      <c r="A53" s="220"/>
      <c r="B53" s="239"/>
      <c r="C53" s="240"/>
      <c r="D53" s="240"/>
      <c r="E53" s="240"/>
    </row>
    <row r="54" spans="1:5" ht="15">
      <c r="A54" s="220"/>
      <c r="B54" s="239"/>
      <c r="C54" s="240"/>
      <c r="D54" s="240"/>
      <c r="E54" s="240"/>
    </row>
    <row r="55" spans="1:5" ht="15">
      <c r="A55" s="220"/>
      <c r="B55" s="239"/>
      <c r="C55" s="240"/>
      <c r="D55" s="240"/>
      <c r="E55" s="240"/>
    </row>
    <row r="56" spans="1:5" ht="15">
      <c r="A56" s="220"/>
      <c r="B56" s="239"/>
      <c r="C56" s="240"/>
      <c r="D56" s="240"/>
      <c r="E56" s="240"/>
    </row>
    <row r="57" spans="1:5" ht="15">
      <c r="A57" s="220"/>
      <c r="B57" s="239"/>
      <c r="C57" s="240"/>
      <c r="D57" s="240"/>
      <c r="E57" s="240"/>
    </row>
    <row r="58" spans="1:5" ht="15">
      <c r="A58" s="220"/>
      <c r="B58" s="239"/>
      <c r="C58" s="240"/>
      <c r="D58" s="240"/>
      <c r="E58" s="240"/>
    </row>
    <row r="59" spans="1:5" ht="15">
      <c r="A59" s="220"/>
      <c r="B59" s="239"/>
      <c r="C59" s="240"/>
      <c r="D59" s="240"/>
      <c r="E59" s="240"/>
    </row>
    <row r="60" spans="1:5" ht="15">
      <c r="A60" s="220"/>
      <c r="B60" s="239"/>
      <c r="C60" s="240"/>
      <c r="D60" s="240"/>
      <c r="E60" s="240"/>
    </row>
    <row r="61" spans="1:5" ht="15">
      <c r="A61" s="220"/>
      <c r="B61" s="239"/>
      <c r="C61" s="240"/>
      <c r="D61" s="240"/>
      <c r="E61" s="240"/>
    </row>
    <row r="62" spans="1:5" ht="15">
      <c r="A62" s="220"/>
      <c r="B62" s="239"/>
      <c r="C62" s="240"/>
      <c r="D62" s="240"/>
      <c r="E62" s="240"/>
    </row>
    <row r="63" spans="1:5" ht="15">
      <c r="A63" s="220"/>
      <c r="B63" s="239"/>
      <c r="C63" s="240"/>
      <c r="D63" s="240"/>
      <c r="E63" s="240"/>
    </row>
    <row r="64" spans="1:5" ht="15">
      <c r="A64" s="220"/>
      <c r="B64" s="239"/>
      <c r="C64" s="240"/>
      <c r="D64" s="240"/>
      <c r="E64" s="240"/>
    </row>
    <row r="65" spans="1:5" ht="15">
      <c r="A65" s="220"/>
      <c r="B65" s="239"/>
      <c r="C65" s="240"/>
      <c r="D65" s="240"/>
      <c r="E65" s="240"/>
    </row>
    <row r="66" spans="1:5" ht="15">
      <c r="A66" s="220"/>
      <c r="B66" s="239"/>
      <c r="C66" s="240"/>
      <c r="D66" s="240"/>
      <c r="E66" s="240"/>
    </row>
    <row r="67" spans="1:5" ht="15">
      <c r="A67" s="220"/>
      <c r="B67" s="239"/>
      <c r="C67" s="240"/>
      <c r="D67" s="240"/>
      <c r="E67" s="240"/>
    </row>
    <row r="68" spans="1:5" ht="15">
      <c r="A68" s="220"/>
      <c r="B68" s="239"/>
      <c r="C68" s="240"/>
      <c r="D68" s="240"/>
      <c r="E68" s="240"/>
    </row>
    <row r="69" spans="1:5" ht="15">
      <c r="A69" s="220"/>
      <c r="B69" s="239"/>
      <c r="C69" s="240"/>
      <c r="D69" s="240"/>
      <c r="E69" s="240"/>
    </row>
    <row r="70" spans="1:5" ht="15">
      <c r="A70" s="220"/>
      <c r="B70" s="239"/>
      <c r="C70" s="240"/>
      <c r="D70" s="240"/>
      <c r="E70" s="240"/>
    </row>
    <row r="71" spans="1:5" ht="15">
      <c r="A71" s="220"/>
      <c r="B71" s="239"/>
      <c r="C71" s="240"/>
      <c r="D71" s="240"/>
      <c r="E71" s="240"/>
    </row>
    <row r="72" spans="1:5" ht="15">
      <c r="A72" s="220"/>
      <c r="B72" s="239"/>
      <c r="C72" s="240"/>
      <c r="D72" s="240"/>
      <c r="E72" s="240"/>
    </row>
    <row r="73" spans="1:5" ht="15">
      <c r="A73" s="220"/>
      <c r="B73" s="239"/>
      <c r="C73" s="240"/>
      <c r="D73" s="240"/>
      <c r="E73" s="240"/>
    </row>
    <row r="74" spans="1:5" ht="15">
      <c r="A74" s="220"/>
      <c r="B74" s="239"/>
      <c r="C74" s="240"/>
      <c r="D74" s="240"/>
      <c r="E74" s="240"/>
    </row>
    <row r="75" spans="1:5" ht="15">
      <c r="A75" s="220"/>
      <c r="B75" s="239"/>
      <c r="C75" s="240"/>
      <c r="D75" s="240"/>
      <c r="E75" s="240"/>
    </row>
    <row r="76" spans="1:5" ht="15">
      <c r="A76" s="220"/>
      <c r="B76" s="239"/>
      <c r="C76" s="240"/>
      <c r="D76" s="240"/>
      <c r="E76" s="240"/>
    </row>
    <row r="77" spans="1:5" ht="15">
      <c r="A77" s="220"/>
      <c r="B77" s="239"/>
      <c r="C77" s="240"/>
      <c r="D77" s="240"/>
      <c r="E77" s="24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2010-04-29T14:28:01Z</cp:lastPrinted>
  <dcterms:created xsi:type="dcterms:W3CDTF">2005-05-26T21:54:43Z</dcterms:created>
  <dcterms:modified xsi:type="dcterms:W3CDTF">2016-07-14T17:47:06Z</dcterms:modified>
  <cp:category/>
  <cp:version/>
  <cp:contentType/>
  <cp:contentStatus/>
</cp:coreProperties>
</file>