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ESummary" sheetId="1" r:id="rId1"/>
    <sheet name="2Year" sheetId="2" r:id="rId2"/>
    <sheet name="4Year" sheetId="3" r:id="rId3"/>
    <sheet name="2&amp;4Year" sheetId="4" r:id="rId4"/>
    <sheet name="Boards" sheetId="5" r:id="rId5"/>
    <sheet name="Specialized" sheetId="6" r:id="rId6"/>
    <sheet name="BORSummary" sheetId="7" r:id="rId7"/>
    <sheet name="BOR" sheetId="8" r:id="rId8"/>
    <sheet name="LUMCON" sheetId="9" r:id="rId9"/>
    <sheet name="LOSFA" sheetId="10" r:id="rId10"/>
    <sheet name="ULSummary" sheetId="11" r:id="rId11"/>
    <sheet name="ULBoard" sheetId="12" r:id="rId12"/>
    <sheet name="Grambling" sheetId="13" r:id="rId13"/>
    <sheet name="LATech" sheetId="14" r:id="rId14"/>
    <sheet name="McNeese" sheetId="15" r:id="rId15"/>
    <sheet name="Nicholls" sheetId="16" r:id="rId16"/>
    <sheet name="NwSU" sheetId="17" r:id="rId17"/>
    <sheet name="SLU" sheetId="18" r:id="rId18"/>
    <sheet name="ULL" sheetId="19" r:id="rId19"/>
    <sheet name="ULM" sheetId="20" r:id="rId20"/>
    <sheet name="UNO" sheetId="21" r:id="rId21"/>
    <sheet name="LSU Summary" sheetId="22" r:id="rId22"/>
    <sheet name="LSU" sheetId="23" r:id="rId23"/>
    <sheet name="LSUA" sheetId="24" r:id="rId24"/>
    <sheet name="LSUS" sheetId="25" r:id="rId25"/>
    <sheet name="LSUE" sheetId="26" r:id="rId26"/>
    <sheet name="LSUHSCS" sheetId="27" r:id="rId27"/>
    <sheet name="LSUHSCNO" sheetId="28" r:id="rId28"/>
    <sheet name="LSUAg" sheetId="29" r:id="rId29"/>
    <sheet name="PBRC" sheetId="30" r:id="rId30"/>
    <sheet name="SU Summary" sheetId="31" r:id="rId31"/>
    <sheet name="SUBoard" sheetId="32" r:id="rId32"/>
    <sheet name="SUBR" sheetId="33" r:id="rId33"/>
    <sheet name="SUNO" sheetId="34" r:id="rId34"/>
    <sheet name="SUSLA" sheetId="35" r:id="rId35"/>
    <sheet name="SULaw" sheetId="36" r:id="rId36"/>
    <sheet name="SUAg" sheetId="37" r:id="rId37"/>
    <sheet name="LCTCS Summary" sheetId="38" r:id="rId38"/>
    <sheet name="LCTCBoard" sheetId="39" r:id="rId39"/>
    <sheet name="Online" sheetId="40" r:id="rId40"/>
    <sheet name="BRCC" sheetId="41" r:id="rId41"/>
    <sheet name="BPCC" sheetId="42" r:id="rId42"/>
    <sheet name="Delgado" sheetId="43" r:id="rId43"/>
    <sheet name="CentLATCC" sheetId="44" r:id="rId44"/>
    <sheet name="Fletcher" sheetId="45" r:id="rId45"/>
    <sheet name="LDCC" sheetId="46" r:id="rId46"/>
    <sheet name="Northshore" sheetId="47" r:id="rId47"/>
    <sheet name="Nunez" sheetId="48" r:id="rId48"/>
    <sheet name="RPCC" sheetId="49" r:id="rId49"/>
    <sheet name="SLCC" sheetId="50" r:id="rId50"/>
    <sheet name="Sowela" sheetId="51" r:id="rId51"/>
    <sheet name="LTC" sheetId="52" r:id="rId52"/>
    <sheet name="Sheet1" sheetId="53" r:id="rId53"/>
  </sheets>
  <externalReferences>
    <externalReference r:id="rId56"/>
  </externalReferences>
  <definedNames>
    <definedName name="_xlnm.Print_Area" localSheetId="6">'BORSummary'!$A$1:$F$92</definedName>
    <definedName name="_xlnm.Print_Area" localSheetId="41">'BPCC'!$A$1:$F$92</definedName>
    <definedName name="_xlnm.Print_Area" localSheetId="40">'BRCC'!$A$1:$F$92</definedName>
    <definedName name="_xlnm.Print_Area" localSheetId="43">'CentLATCC'!$A$1:$F$92</definedName>
    <definedName name="_xlnm.Print_Area" localSheetId="42">'Delgado'!$A$1:$F$92</definedName>
    <definedName name="_xlnm.Print_Area" localSheetId="44">'Fletcher'!$A$1:$F$92</definedName>
    <definedName name="_xlnm.Print_Area" localSheetId="0">'HESummary'!$A$1:$F$92</definedName>
    <definedName name="_xlnm.Print_Area" localSheetId="38">'LCTCBoard'!$A$1:$F$92</definedName>
    <definedName name="_xlnm.Print_Area" localSheetId="37">'LCTCS Summary'!$A$1:$F$92</definedName>
    <definedName name="_xlnm.Print_Area" localSheetId="45">'LDCC'!$A$1:$F$92</definedName>
    <definedName name="_xlnm.Print_Area" localSheetId="51">'LTC'!$A$1:$F$92</definedName>
    <definedName name="_xlnm.Print_Area" localSheetId="46">'Northshore'!$A$1:$F$92</definedName>
    <definedName name="_xlnm.Print_Area" localSheetId="47">'Nunez'!$A$1:$F$92</definedName>
    <definedName name="_xlnm.Print_Area" localSheetId="39">'Online'!$A$1:$F$92</definedName>
    <definedName name="_xlnm.Print_Area" localSheetId="48">'RPCC'!$A$1:$F$92</definedName>
    <definedName name="_xlnm.Print_Area" localSheetId="49">'SLCC'!$A$1:$F$92</definedName>
    <definedName name="_xlnm.Print_Area" localSheetId="50">'Sowela'!$A$1:$F$92</definedName>
  </definedNames>
  <calcPr fullCalcOnLoad="1"/>
</workbook>
</file>

<file path=xl/sharedStrings.xml><?xml version="1.0" encoding="utf-8"?>
<sst xmlns="http://schemas.openxmlformats.org/spreadsheetml/2006/main" count="5326" uniqueCount="146">
  <si>
    <t>Board of Regents</t>
  </si>
  <si>
    <t>Institution: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</si>
  <si>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</si>
  <si>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</si>
  <si>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</si>
  <si>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</si>
  <si>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</si>
  <si>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</si>
  <si>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</si>
  <si>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</si>
  <si>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</si>
  <si>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</si>
  <si>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</si>
  <si>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</si>
  <si>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</si>
  <si>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</si>
  <si>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</si>
  <si>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</si>
  <si>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</si>
  <si>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</si>
  <si>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</si>
  <si>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</si>
  <si>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</si>
  <si>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</si>
  <si>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</si>
  <si>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</si>
  <si>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</si>
  <si>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</si>
  <si>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</si>
  <si>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</si>
  <si>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</si>
  <si>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</si>
  <si>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</si>
  <si>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</si>
  <si>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</si>
  <si>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</si>
  <si>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</si>
  <si>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 xml:space="preserve"> 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</si>
  <si>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</si>
  <si>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</si>
  <si>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</si>
  <si>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</si>
  <si>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</si>
  <si>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</si>
  <si>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</si>
  <si>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</si>
  <si>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</si>
  <si>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</si>
  <si>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>Non-Recurring Self-Generated Carry Forward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</si>
  <si>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</si>
  <si>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</si>
  <si>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</si>
  <si>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</si>
  <si>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</si>
  <si>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</si>
  <si>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</si>
  <si>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</si>
  <si>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</si>
  <si>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</si>
  <si>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</si>
  <si>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</si>
  <si>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</si>
  <si>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</si>
  <si>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</si>
  <si>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</si>
  <si>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</si>
  <si>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</si>
  <si>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</si>
  <si>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</si>
  <si>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</si>
  <si>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</si>
  <si>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</si>
  <si>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</si>
  <si>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</si>
  <si>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</si>
  <si>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</si>
  <si>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</si>
  <si>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</si>
  <si>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</si>
  <si>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</si>
  <si>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</si>
  <si>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</si>
  <si>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</si>
  <si>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</si>
  <si>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</si>
  <si>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</si>
  <si>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</si>
  <si>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 xml:space="preserve">           Medical &amp; Allied Health Scholarship &amp; Loan Fund</t>
  </si>
  <si>
    <t>Southern University System Summary</t>
  </si>
  <si>
    <t>Louisiana State University System Summary</t>
  </si>
  <si>
    <t>UL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</si>
  <si>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</si>
  <si>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</si>
  <si>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</si>
  <si>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</si>
  <si>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</si>
  <si>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.</t>
  </si>
  <si>
    <t>* This column should reflect the last approved BA-7 in FY 13-14</t>
  </si>
  <si>
    <t xml:space="preserve">  Grambling State University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</si>
  <si>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</si>
  <si>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</si>
  <si>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</si>
  <si>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</si>
  <si>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</si>
  <si>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University of New Orleans</t>
  </si>
  <si>
    <t>LCTCS Board of Supervisors</t>
  </si>
  <si>
    <t>LCTCSOnline</t>
  </si>
  <si>
    <t>Bossier Parish Community College</t>
  </si>
  <si>
    <t>Baton Rouge Community College</t>
  </si>
  <si>
    <t>Central Louisiana Technical Community College</t>
  </si>
  <si>
    <t>Delgado Community College</t>
  </si>
  <si>
    <t>Fletcher Technical Community College</t>
  </si>
  <si>
    <t>Louisiana Delta Community College</t>
  </si>
  <si>
    <t>Nunez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</si>
  <si>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</si>
  <si>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</si>
  <si>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</si>
  <si>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</si>
  <si>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</t>
  </si>
  <si>
    <t>LSU Agricultural Center</t>
  </si>
  <si>
    <t xml:space="preserve">Louisiana State University </t>
  </si>
  <si>
    <t>LSU Health Sciences Center-New Orleans</t>
  </si>
  <si>
    <t xml:space="preserve">           Overcollections Fund (includes Termination Pay)</t>
  </si>
  <si>
    <t>LSU at Alexandria</t>
  </si>
  <si>
    <t>LSU Eunice</t>
  </si>
  <si>
    <t>Louisiana State University Shreveport</t>
  </si>
  <si>
    <t>Pennington Biomedical Research Center</t>
  </si>
  <si>
    <t>Louisiana Tech University</t>
  </si>
  <si>
    <t>University of Louisiana at Lafayette</t>
  </si>
  <si>
    <t xml:space="preserve">   </t>
  </si>
  <si>
    <t>Louisiana Technical College</t>
  </si>
  <si>
    <t>Southern University at New Orleans</t>
  </si>
  <si>
    <t>Southern University Ag Center</t>
  </si>
  <si>
    <t>SOUTHERN UNIVERSITY AT SHREVEPORT</t>
  </si>
  <si>
    <t>Southern University Law Center</t>
  </si>
  <si>
    <t>Interagency Transfers  (see note)</t>
  </si>
  <si>
    <t xml:space="preserve">Interagency Transfers - ARRA 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</si>
  <si>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</si>
  <si>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</si>
  <si>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</si>
  <si>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</si>
  <si>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2016-2017</t>
  </si>
  <si>
    <t>Board of Regents Summary</t>
  </si>
  <si>
    <t>LUMCON/BOR Program</t>
  </si>
  <si>
    <t>LOSFA/BOR Program</t>
  </si>
  <si>
    <t>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</si>
</sst>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\(0.00%\)"/>
    <numFmt numFmtId="165" formatCode="#,##0.00%;[Red]\(#,##0.00%\)"/>
    <numFmt numFmtId="166" formatCode="0.0%"/>
    <numFmt numFmtId="167" formatCode="&quot;$&quot;#,##0_);[Red]\(&quot;$&quot;#,##0\);"/>
    <numFmt numFmtId="168" formatCode="#,##0_);[Red]\(#,##0\);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%;[Black]\(#,##0.00%\)"/>
    <numFmt numFmtId="172" formatCode="_(&quot;$&quot;* #,##0.0_);_(&quot;$&quot;* \(#,##0.0\);_(&quot;$&quot;* &quot;-&quot;??_);_(@_)"/>
    <numFmt numFmtId="173" formatCode="0.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 style="thick"/>
      <right style="thick">
        <color indexed="8"/>
      </right>
      <top style="thick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/>
      <bottom/>
    </border>
    <border>
      <left style="thick"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>
        <color indexed="8"/>
      </right>
      <top/>
      <bottom style="medium">
        <color indexed="8"/>
      </bottom>
    </border>
    <border>
      <left style="thick">
        <color indexed="8"/>
      </left>
      <right style="thick">
        <color indexed="8"/>
      </right>
      <top style="thin"/>
      <bottom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5" fillId="0" borderId="10" xfId="0" applyNumberFormat="1" applyFont="1" applyBorder="1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6" fontId="63" fillId="0" borderId="0" xfId="0" applyNumberFormat="1" applyFont="1" applyAlignment="1">
      <alignment/>
    </xf>
    <xf numFmtId="165" fontId="63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6" fontId="3" fillId="0" borderId="0" xfId="0" applyNumberFormat="1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6" fontId="7" fillId="0" borderId="0" xfId="0" applyNumberFormat="1" applyFont="1" applyBorder="1" applyAlignment="1" applyProtection="1">
      <alignment horizontal="centerContinuous" vertical="justify"/>
      <protection/>
    </xf>
    <xf numFmtId="165" fontId="64" fillId="0" borderId="10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6" fontId="3" fillId="0" borderId="11" xfId="0" applyNumberFormat="1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6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6" fontId="8" fillId="0" borderId="13" xfId="0" applyNumberFormat="1" applyFont="1" applyBorder="1" applyAlignment="1" applyProtection="1">
      <alignment horizontal="center"/>
      <protection/>
    </xf>
    <xf numFmtId="6" fontId="8" fillId="0" borderId="14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0" fontId="66" fillId="0" borderId="0" xfId="0" applyFont="1" applyAlignment="1">
      <alignment/>
    </xf>
    <xf numFmtId="3" fontId="9" fillId="0" borderId="15" xfId="0" applyNumberFormat="1" applyFont="1" applyBorder="1" applyAlignment="1" applyProtection="1">
      <alignment wrapText="1"/>
      <protection/>
    </xf>
    <xf numFmtId="6" fontId="8" fillId="0" borderId="16" xfId="0" applyNumberFormat="1" applyFont="1" applyBorder="1" applyAlignment="1" applyProtection="1">
      <alignment horizontal="center" wrapText="1"/>
      <protection/>
    </xf>
    <xf numFmtId="165" fontId="8" fillId="0" borderId="16" xfId="0" applyNumberFormat="1" applyFont="1" applyBorder="1" applyAlignment="1" applyProtection="1">
      <alignment horizontal="center" wrapText="1"/>
      <protection/>
    </xf>
    <xf numFmtId="3" fontId="8" fillId="0" borderId="17" xfId="0" applyNumberFormat="1" applyFont="1" applyBorder="1" applyAlignment="1" applyProtection="1">
      <alignment/>
      <protection/>
    </xf>
    <xf numFmtId="6" fontId="9" fillId="0" borderId="13" xfId="0" applyNumberFormat="1" applyFont="1" applyBorder="1" applyAlignment="1" applyProtection="1">
      <alignment/>
      <protection/>
    </xf>
    <xf numFmtId="165" fontId="9" fillId="0" borderId="18" xfId="0" applyNumberFormat="1" applyFont="1" applyBorder="1" applyAlignment="1" applyProtection="1">
      <alignment/>
      <protection/>
    </xf>
    <xf numFmtId="165" fontId="9" fillId="0" borderId="13" xfId="0" applyNumberFormat="1" applyFont="1" applyBorder="1" applyAlignment="1" applyProtection="1">
      <alignment/>
      <protection/>
    </xf>
    <xf numFmtId="0" fontId="9" fillId="0" borderId="15" xfId="0" applyNumberFormat="1" applyFont="1" applyBorder="1" applyAlignment="1" applyProtection="1">
      <alignment/>
      <protection/>
    </xf>
    <xf numFmtId="6" fontId="9" fillId="0" borderId="16" xfId="0" applyNumberFormat="1" applyFont="1" applyBorder="1" applyAlignment="1" applyProtection="1">
      <alignment/>
      <protection/>
    </xf>
    <xf numFmtId="165" fontId="9" fillId="0" borderId="19" xfId="0" applyNumberFormat="1" applyFont="1" applyBorder="1" applyAlignment="1" applyProtection="1">
      <alignment horizontal="right"/>
      <protection/>
    </xf>
    <xf numFmtId="0" fontId="9" fillId="0" borderId="20" xfId="0" applyNumberFormat="1" applyFont="1" applyBorder="1" applyAlignment="1" applyProtection="1">
      <alignment/>
      <protection/>
    </xf>
    <xf numFmtId="6" fontId="9" fillId="0" borderId="21" xfId="0" applyNumberFormat="1" applyFont="1" applyBorder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6" fontId="9" fillId="0" borderId="18" xfId="0" applyNumberFormat="1" applyFont="1" applyBorder="1" applyAlignment="1" applyProtection="1">
      <alignment/>
      <protection/>
    </xf>
    <xf numFmtId="0" fontId="9" fillId="0" borderId="18" xfId="0" applyNumberFormat="1" applyFont="1" applyBorder="1" applyAlignment="1" applyProtection="1">
      <alignment/>
      <protection/>
    </xf>
    <xf numFmtId="0" fontId="9" fillId="0" borderId="22" xfId="0" applyNumberFormat="1" applyFont="1" applyBorder="1" applyAlignment="1" applyProtection="1">
      <alignment/>
      <protection/>
    </xf>
    <xf numFmtId="0" fontId="8" fillId="0" borderId="13" xfId="0" applyNumberFormat="1" applyFont="1" applyBorder="1" applyAlignment="1" applyProtection="1">
      <alignment/>
      <protection/>
    </xf>
    <xf numFmtId="0" fontId="8" fillId="0" borderId="18" xfId="0" applyNumberFormat="1" applyFont="1" applyBorder="1" applyAlignment="1" applyProtection="1">
      <alignment/>
      <protection/>
    </xf>
    <xf numFmtId="0" fontId="8" fillId="0" borderId="22" xfId="0" applyNumberFormat="1" applyFont="1" applyBorder="1" applyAlignment="1" applyProtection="1">
      <alignment/>
      <protection/>
    </xf>
    <xf numFmtId="6" fontId="8" fillId="0" borderId="18" xfId="0" applyNumberFormat="1" applyFont="1" applyBorder="1" applyAlignment="1" applyProtection="1">
      <alignment/>
      <protection/>
    </xf>
    <xf numFmtId="165" fontId="8" fillId="0" borderId="19" xfId="0" applyNumberFormat="1" applyFont="1" applyBorder="1" applyAlignment="1" applyProtection="1">
      <alignment horizontal="right"/>
      <protection/>
    </xf>
    <xf numFmtId="0" fontId="67" fillId="0" borderId="0" xfId="0" applyFont="1" applyAlignment="1">
      <alignment/>
    </xf>
    <xf numFmtId="0" fontId="9" fillId="0" borderId="16" xfId="0" applyNumberFormat="1" applyFont="1" applyBorder="1" applyAlignment="1" applyProtection="1">
      <alignment/>
      <protection/>
    </xf>
    <xf numFmtId="0" fontId="9" fillId="0" borderId="21" xfId="0" applyNumberFormat="1" applyFont="1" applyBorder="1" applyAlignment="1" applyProtection="1">
      <alignment/>
      <protection/>
    </xf>
    <xf numFmtId="0" fontId="9" fillId="0" borderId="19" xfId="0" applyNumberFormat="1" applyFont="1" applyBorder="1" applyAlignment="1" applyProtection="1">
      <alignment/>
      <protection/>
    </xf>
    <xf numFmtId="6" fontId="8" fillId="0" borderId="13" xfId="0" applyNumberFormat="1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/>
      <protection/>
    </xf>
    <xf numFmtId="6" fontId="8" fillId="0" borderId="16" xfId="0" applyNumberFormat="1" applyFont="1" applyBorder="1" applyAlignment="1" applyProtection="1">
      <alignment/>
      <protection/>
    </xf>
    <xf numFmtId="0" fontId="8" fillId="0" borderId="19" xfId="0" applyNumberFormat="1" applyFont="1" applyBorder="1" applyAlignment="1" applyProtection="1">
      <alignment/>
      <protection/>
    </xf>
    <xf numFmtId="6" fontId="8" fillId="0" borderId="19" xfId="0" applyNumberFormat="1" applyFont="1" applyBorder="1" applyAlignment="1" applyProtection="1">
      <alignment/>
      <protection/>
    </xf>
    <xf numFmtId="165" fontId="9" fillId="0" borderId="13" xfId="0" applyNumberFormat="1" applyFont="1" applyBorder="1" applyAlignment="1" applyProtection="1">
      <alignment horizontal="right"/>
      <protection/>
    </xf>
    <xf numFmtId="3" fontId="8" fillId="0" borderId="13" xfId="0" applyNumberFormat="1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/>
    </xf>
    <xf numFmtId="6" fontId="8" fillId="0" borderId="21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/>
    </xf>
    <xf numFmtId="6" fontId="8" fillId="0" borderId="23" xfId="0" applyNumberFormat="1" applyFont="1" applyBorder="1" applyAlignment="1" applyProtection="1">
      <alignment/>
      <protection/>
    </xf>
    <xf numFmtId="165" fontId="8" fillId="0" borderId="24" xfId="0" applyNumberFormat="1" applyFont="1" applyBorder="1" applyAlignment="1" applyProtection="1">
      <alignment horizontal="right"/>
      <protection/>
    </xf>
    <xf numFmtId="165" fontId="64" fillId="0" borderId="0" xfId="0" applyNumberFormat="1" applyFont="1" applyBorder="1" applyAlignment="1" applyProtection="1">
      <alignment/>
      <protection/>
    </xf>
    <xf numFmtId="6" fontId="8" fillId="0" borderId="25" xfId="0" applyNumberFormat="1" applyFont="1" applyBorder="1" applyAlignment="1" applyProtection="1">
      <alignment/>
      <protection/>
    </xf>
    <xf numFmtId="6" fontId="8" fillId="0" borderId="26" xfId="0" applyNumberFormat="1" applyFont="1" applyBorder="1" applyAlignment="1" applyProtection="1">
      <alignment/>
      <protection/>
    </xf>
    <xf numFmtId="165" fontId="8" fillId="0" borderId="26" xfId="0" applyNumberFormat="1" applyFont="1" applyBorder="1" applyAlignment="1" applyProtection="1">
      <alignment horizontal="right"/>
      <protection/>
    </xf>
    <xf numFmtId="0" fontId="4" fillId="0" borderId="10" xfId="0" applyNumberFormat="1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6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0" fillId="0" borderId="10" xfId="0" applyNumberFormat="1" applyFont="1" applyBorder="1" applyAlignment="1" applyProtection="1">
      <alignment/>
      <protection/>
    </xf>
    <xf numFmtId="165" fontId="10" fillId="0" borderId="0" xfId="0" applyNumberFormat="1" applyFont="1" applyBorder="1" applyAlignment="1" applyProtection="1">
      <alignment/>
      <protection/>
    </xf>
    <xf numFmtId="0" fontId="67" fillId="0" borderId="0" xfId="0" applyFont="1" applyFill="1" applyAlignment="1">
      <alignment/>
    </xf>
    <xf numFmtId="6" fontId="9" fillId="0" borderId="27" xfId="0" applyNumberFormat="1" applyFont="1" applyBorder="1" applyAlignment="1" applyProtection="1">
      <alignment/>
      <protection/>
    </xf>
    <xf numFmtId="6" fontId="8" fillId="0" borderId="28" xfId="0" applyNumberFormat="1" applyFont="1" applyBorder="1" applyAlignment="1" applyProtection="1">
      <alignment/>
      <protection/>
    </xf>
    <xf numFmtId="6" fontId="66" fillId="0" borderId="0" xfId="0" applyNumberFormat="1" applyFont="1" applyAlignment="1">
      <alignment/>
    </xf>
    <xf numFmtId="6" fontId="9" fillId="0" borderId="0" xfId="0" applyNumberFormat="1" applyFont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/>
      <protection/>
    </xf>
    <xf numFmtId="167" fontId="5" fillId="0" borderId="0" xfId="0" applyNumberFormat="1" applyFont="1" applyBorder="1" applyAlignment="1" applyProtection="1">
      <alignment/>
      <protection/>
    </xf>
    <xf numFmtId="6" fontId="9" fillId="0" borderId="22" xfId="0" applyNumberFormat="1" applyFont="1" applyBorder="1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6" fontId="63" fillId="0" borderId="0" xfId="0" applyNumberFormat="1" applyFont="1" applyAlignment="1">
      <alignment/>
    </xf>
    <xf numFmtId="165" fontId="63" fillId="0" borderId="0" xfId="0" applyNumberFormat="1" applyFont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 applyProtection="1">
      <alignment/>
      <protection/>
    </xf>
    <xf numFmtId="165" fontId="64" fillId="0" borderId="10" xfId="0" applyNumberFormat="1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6" fontId="67" fillId="0" borderId="0" xfId="0" applyNumberFormat="1" applyFont="1" applyAlignment="1">
      <alignment/>
    </xf>
    <xf numFmtId="6" fontId="65" fillId="0" borderId="0" xfId="0" applyNumberFormat="1" applyFont="1" applyAlignment="1">
      <alignment/>
    </xf>
    <xf numFmtId="40" fontId="65" fillId="0" borderId="0" xfId="0" applyNumberFormat="1" applyFont="1" applyAlignment="1">
      <alignment/>
    </xf>
    <xf numFmtId="0" fontId="5" fillId="0" borderId="10" xfId="0" applyNumberFormat="1" applyFont="1" applyBorder="1" applyAlignment="1" applyProtection="1">
      <alignment horizontal="right"/>
      <protection/>
    </xf>
    <xf numFmtId="43" fontId="5" fillId="0" borderId="0" xfId="42" applyFont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0" fontId="35" fillId="0" borderId="10" xfId="0" applyFont="1" applyFill="1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right"/>
      <protection/>
    </xf>
    <xf numFmtId="165" fontId="35" fillId="0" borderId="1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6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6" fontId="2" fillId="0" borderId="11" xfId="0" applyNumberFormat="1" applyFont="1" applyFill="1" applyBorder="1" applyAlignment="1" applyProtection="1">
      <alignment/>
      <protection/>
    </xf>
    <xf numFmtId="165" fontId="2" fillId="0" borderId="11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3" fontId="8" fillId="0" borderId="17" xfId="0" applyNumberFormat="1" applyFont="1" applyFill="1" applyBorder="1" applyAlignment="1" applyProtection="1">
      <alignment/>
      <protection/>
    </xf>
    <xf numFmtId="165" fontId="8" fillId="0" borderId="18" xfId="0" applyNumberFormat="1" applyFont="1" applyFill="1" applyBorder="1" applyAlignment="1" applyProtection="1">
      <alignment/>
      <protection/>
    </xf>
    <xf numFmtId="165" fontId="8" fillId="0" borderId="13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165" fontId="8" fillId="0" borderId="19" xfId="0" applyNumberFormat="1" applyFont="1" applyFill="1" applyBorder="1" applyAlignment="1" applyProtection="1">
      <alignment horizontal="right"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165" fontId="8" fillId="0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/>
      <protection/>
    </xf>
    <xf numFmtId="6" fontId="36" fillId="0" borderId="0" xfId="0" applyNumberFormat="1" applyFont="1" applyFill="1" applyAlignment="1">
      <alignment/>
    </xf>
    <xf numFmtId="3" fontId="8" fillId="0" borderId="23" xfId="0" applyNumberFormat="1" applyFont="1" applyFill="1" applyBorder="1" applyAlignment="1" applyProtection="1">
      <alignment/>
      <protection/>
    </xf>
    <xf numFmtId="165" fontId="8" fillId="0" borderId="24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6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6" fontId="38" fillId="0" borderId="0" xfId="0" applyNumberFormat="1" applyFont="1" applyFill="1" applyAlignment="1">
      <alignment/>
    </xf>
    <xf numFmtId="165" fontId="38" fillId="0" borderId="0" xfId="0" applyNumberFormat="1" applyFont="1" applyFill="1" applyAlignment="1">
      <alignment/>
    </xf>
    <xf numFmtId="6" fontId="2" fillId="0" borderId="10" xfId="0" applyNumberFormat="1" applyFont="1" applyFill="1" applyBorder="1" applyAlignment="1" applyProtection="1">
      <alignment/>
      <protection/>
    </xf>
    <xf numFmtId="0" fontId="64" fillId="0" borderId="10" xfId="0" applyFont="1" applyBorder="1" applyAlignment="1">
      <alignment horizontal="right"/>
    </xf>
    <xf numFmtId="0" fontId="64" fillId="0" borderId="10" xfId="0" applyFont="1" applyBorder="1" applyAlignment="1" applyProtection="1">
      <alignment horizontal="left"/>
      <protection/>
    </xf>
    <xf numFmtId="6" fontId="7" fillId="0" borderId="10" xfId="0" applyNumberFormat="1" applyFont="1" applyBorder="1" applyAlignment="1" applyProtection="1">
      <alignment horizontal="centerContinuous" vertical="justify"/>
      <protection/>
    </xf>
    <xf numFmtId="0" fontId="5" fillId="0" borderId="10" xfId="0" applyNumberFormat="1" applyFont="1" applyBorder="1" applyAlignment="1" applyProtection="1">
      <alignment horizontal="left" indent="2"/>
      <protection/>
    </xf>
    <xf numFmtId="37" fontId="7" fillId="0" borderId="0" xfId="0" applyNumberFormat="1" applyFont="1" applyBorder="1" applyAlignment="1" applyProtection="1">
      <alignment horizontal="centerContinuous" vertical="justify"/>
      <protection/>
    </xf>
    <xf numFmtId="37" fontId="5" fillId="0" borderId="10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/>
      <protection/>
    </xf>
    <xf numFmtId="0" fontId="5" fillId="0" borderId="22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0" fontId="4" fillId="0" borderId="22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19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1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39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6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>
      <alignment/>
    </xf>
    <xf numFmtId="10" fontId="9" fillId="0" borderId="19" xfId="59" applyNumberFormat="1" applyFont="1" applyBorder="1" applyAlignment="1" applyProtection="1">
      <alignment horizontal="right"/>
      <protection/>
    </xf>
    <xf numFmtId="10" fontId="9" fillId="0" borderId="18" xfId="59" applyNumberFormat="1" applyFont="1" applyBorder="1" applyAlignment="1" applyProtection="1">
      <alignment/>
      <protection/>
    </xf>
    <xf numFmtId="10" fontId="8" fillId="0" borderId="19" xfId="59" applyNumberFormat="1" applyFont="1" applyBorder="1" applyAlignment="1" applyProtection="1">
      <alignment horizontal="right"/>
      <protection/>
    </xf>
    <xf numFmtId="10" fontId="9" fillId="0" borderId="13" xfId="59" applyNumberFormat="1" applyFont="1" applyBorder="1" applyAlignment="1" applyProtection="1">
      <alignment horizontal="right"/>
      <protection/>
    </xf>
    <xf numFmtId="10" fontId="9" fillId="0" borderId="13" xfId="59" applyNumberFormat="1" applyFont="1" applyBorder="1" applyAlignment="1" applyProtection="1">
      <alignment/>
      <protection/>
    </xf>
    <xf numFmtId="10" fontId="69" fillId="0" borderId="19" xfId="59" applyNumberFormat="1" applyFont="1" applyBorder="1" applyAlignment="1" applyProtection="1">
      <alignment horizontal="right"/>
      <protection/>
    </xf>
    <xf numFmtId="10" fontId="70" fillId="0" borderId="19" xfId="59" applyNumberFormat="1" applyFont="1" applyBorder="1" applyAlignment="1" applyProtection="1">
      <alignment horizontal="right"/>
      <protection/>
    </xf>
    <xf numFmtId="10" fontId="70" fillId="0" borderId="24" xfId="59" applyNumberFormat="1" applyFont="1" applyBorder="1" applyAlignment="1" applyProtection="1">
      <alignment horizontal="right"/>
      <protection/>
    </xf>
    <xf numFmtId="6" fontId="7" fillId="0" borderId="0" xfId="0" applyNumberFormat="1" applyFont="1" applyBorder="1" applyAlignment="1" applyProtection="1">
      <alignment horizontal="center"/>
      <protection/>
    </xf>
    <xf numFmtId="3" fontId="15" fillId="0" borderId="17" xfId="0" applyNumberFormat="1" applyFont="1" applyBorder="1" applyAlignment="1" applyProtection="1">
      <alignment/>
      <protection/>
    </xf>
    <xf numFmtId="165" fontId="16" fillId="0" borderId="18" xfId="0" applyNumberFormat="1" applyFont="1" applyBorder="1" applyAlignment="1" applyProtection="1">
      <alignment/>
      <protection/>
    </xf>
    <xf numFmtId="165" fontId="16" fillId="0" borderId="13" xfId="0" applyNumberFormat="1" applyFont="1" applyBorder="1" applyAlignment="1" applyProtection="1">
      <alignment/>
      <protection/>
    </xf>
    <xf numFmtId="0" fontId="16" fillId="0" borderId="15" xfId="0" applyNumberFormat="1" applyFont="1" applyBorder="1" applyAlignment="1" applyProtection="1">
      <alignment/>
      <protection/>
    </xf>
    <xf numFmtId="165" fontId="16" fillId="0" borderId="19" xfId="0" applyNumberFormat="1" applyFont="1" applyBorder="1" applyAlignment="1" applyProtection="1">
      <alignment horizontal="right"/>
      <protection/>
    </xf>
    <xf numFmtId="0" fontId="16" fillId="0" borderId="20" xfId="0" applyNumberFormat="1" applyFont="1" applyBorder="1" applyAlignment="1" applyProtection="1">
      <alignment/>
      <protection/>
    </xf>
    <xf numFmtId="0" fontId="16" fillId="0" borderId="13" xfId="0" applyNumberFormat="1" applyFont="1" applyBorder="1" applyAlignment="1" applyProtection="1">
      <alignment/>
      <protection/>
    </xf>
    <xf numFmtId="0" fontId="16" fillId="0" borderId="18" xfId="0" applyNumberFormat="1" applyFont="1" applyBorder="1" applyAlignment="1" applyProtection="1">
      <alignment/>
      <protection/>
    </xf>
    <xf numFmtId="0" fontId="16" fillId="0" borderId="22" xfId="0" applyNumberFormat="1" applyFont="1" applyBorder="1" applyAlignment="1" applyProtection="1">
      <alignment/>
      <protection/>
    </xf>
    <xf numFmtId="0" fontId="15" fillId="0" borderId="13" xfId="0" applyNumberFormat="1" applyFont="1" applyBorder="1" applyAlignment="1" applyProtection="1">
      <alignment/>
      <protection/>
    </xf>
    <xf numFmtId="0" fontId="15" fillId="0" borderId="18" xfId="0" applyNumberFormat="1" applyFont="1" applyBorder="1" applyAlignment="1" applyProtection="1">
      <alignment/>
      <protection/>
    </xf>
    <xf numFmtId="0" fontId="15" fillId="0" borderId="22" xfId="0" applyNumberFormat="1" applyFont="1" applyBorder="1" applyAlignment="1" applyProtection="1">
      <alignment/>
      <protection/>
    </xf>
    <xf numFmtId="165" fontId="15" fillId="0" borderId="19" xfId="0" applyNumberFormat="1" applyFont="1" applyBorder="1" applyAlignment="1" applyProtection="1">
      <alignment horizontal="right"/>
      <protection/>
    </xf>
    <xf numFmtId="0" fontId="16" fillId="0" borderId="16" xfId="0" applyNumberFormat="1" applyFont="1" applyBorder="1" applyAlignment="1" applyProtection="1">
      <alignment/>
      <protection/>
    </xf>
    <xf numFmtId="0" fontId="16" fillId="0" borderId="21" xfId="0" applyNumberFormat="1" applyFont="1" applyBorder="1" applyAlignment="1" applyProtection="1">
      <alignment/>
      <protection/>
    </xf>
    <xf numFmtId="0" fontId="16" fillId="0" borderId="19" xfId="0" applyNumberFormat="1" applyFont="1" applyBorder="1" applyAlignment="1" applyProtection="1">
      <alignment/>
      <protection/>
    </xf>
    <xf numFmtId="0" fontId="15" fillId="0" borderId="16" xfId="0" applyNumberFormat="1" applyFont="1" applyBorder="1" applyAlignment="1" applyProtection="1">
      <alignment/>
      <protection/>
    </xf>
    <xf numFmtId="0" fontId="15" fillId="0" borderId="19" xfId="0" applyNumberFormat="1" applyFont="1" applyBorder="1" applyAlignment="1" applyProtection="1">
      <alignment/>
      <protection/>
    </xf>
    <xf numFmtId="165" fontId="16" fillId="0" borderId="13" xfId="0" applyNumberFormat="1" applyFont="1" applyBorder="1" applyAlignment="1" applyProtection="1">
      <alignment horizontal="right"/>
      <protection/>
    </xf>
    <xf numFmtId="3" fontId="15" fillId="0" borderId="13" xfId="0" applyNumberFormat="1" applyFont="1" applyBorder="1" applyAlignment="1" applyProtection="1">
      <alignment/>
      <protection/>
    </xf>
    <xf numFmtId="3" fontId="16" fillId="0" borderId="18" xfId="0" applyNumberFormat="1" applyFont="1" applyBorder="1" applyAlignment="1" applyProtection="1">
      <alignment/>
      <protection/>
    </xf>
    <xf numFmtId="3" fontId="16" fillId="0" borderId="13" xfId="0" applyNumberFormat="1" applyFont="1" applyBorder="1" applyAlignment="1" applyProtection="1">
      <alignment/>
      <protection/>
    </xf>
    <xf numFmtId="3" fontId="15" fillId="0" borderId="18" xfId="0" applyNumberFormat="1" applyFont="1" applyBorder="1" applyAlignment="1" applyProtection="1">
      <alignment/>
      <protection/>
    </xf>
    <xf numFmtId="3" fontId="15" fillId="0" borderId="21" xfId="0" applyNumberFormat="1" applyFont="1" applyBorder="1" applyAlignment="1" applyProtection="1">
      <alignment/>
      <protection/>
    </xf>
    <xf numFmtId="0" fontId="15" fillId="0" borderId="21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165" fontId="15" fillId="0" borderId="24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6" fontId="8" fillId="0" borderId="0" xfId="0" applyNumberFormat="1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16" fillId="0" borderId="10" xfId="0" applyNumberFormat="1" applyFont="1" applyBorder="1" applyAlignment="1" applyProtection="1">
      <alignment/>
      <protection/>
    </xf>
    <xf numFmtId="6" fontId="8" fillId="0" borderId="29" xfId="0" applyNumberFormat="1" applyFont="1" applyBorder="1" applyAlignment="1" applyProtection="1">
      <alignment/>
      <protection/>
    </xf>
    <xf numFmtId="165" fontId="5" fillId="0" borderId="19" xfId="59" applyNumberFormat="1" applyFont="1" applyBorder="1" applyAlignment="1" applyProtection="1">
      <alignment horizontal="right"/>
      <protection/>
    </xf>
    <xf numFmtId="165" fontId="71" fillId="0" borderId="19" xfId="59" applyNumberFormat="1" applyFont="1" applyBorder="1" applyAlignment="1" applyProtection="1">
      <alignment horizontal="right"/>
      <protection/>
    </xf>
    <xf numFmtId="165" fontId="5" fillId="0" borderId="18" xfId="59" applyNumberFormat="1" applyFont="1" applyBorder="1" applyAlignment="1" applyProtection="1">
      <alignment/>
      <protection/>
    </xf>
    <xf numFmtId="165" fontId="72" fillId="0" borderId="19" xfId="59" applyNumberFormat="1" applyFont="1" applyBorder="1" applyAlignment="1" applyProtection="1">
      <alignment horizontal="right"/>
      <protection/>
    </xf>
    <xf numFmtId="165" fontId="4" fillId="0" borderId="19" xfId="59" applyNumberFormat="1" applyFont="1" applyBorder="1" applyAlignment="1" applyProtection="1">
      <alignment horizontal="right"/>
      <protection/>
    </xf>
    <xf numFmtId="165" fontId="5" fillId="0" borderId="13" xfId="59" applyNumberFormat="1" applyFont="1" applyBorder="1" applyAlignment="1" applyProtection="1">
      <alignment horizontal="right"/>
      <protection/>
    </xf>
    <xf numFmtId="165" fontId="5" fillId="0" borderId="13" xfId="59" applyNumberFormat="1" applyFont="1" applyBorder="1" applyAlignment="1" applyProtection="1">
      <alignment/>
      <protection/>
    </xf>
    <xf numFmtId="165" fontId="72" fillId="0" borderId="24" xfId="59" applyNumberFormat="1" applyFont="1" applyBorder="1" applyAlignment="1" applyProtection="1">
      <alignment horizontal="right"/>
      <protection/>
    </xf>
    <xf numFmtId="6" fontId="8" fillId="0" borderId="24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ES-RevisedF-SUBR%20FY15BOR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5"/>
      <sheetName val="BOR-6"/>
      <sheetName val="ATH-1 Actual"/>
      <sheetName val="ATH-2-Actual"/>
      <sheetName val="ATH-1 13-14 Bgt"/>
      <sheetName val="ATH-2 13-14 Bgt"/>
      <sheetName val="ATH-1 14-15 Bgt"/>
      <sheetName val="ATH-2 14-15 Bgt"/>
    </sheetNames>
    <sheetDataSet>
      <sheetData sheetId="0">
        <row r="2">
          <cell r="B2" t="str">
            <v>Southern University and A&amp;M College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92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BOR!B8+LUMCON!B8+LOSFA!B8+ULSummary!B8+'LSU Summary'!B8+'SU Summary'!B8+'LCTCS Summary'!B8</f>
        <v>907215045.6700001</v>
      </c>
      <c r="C8" s="33">
        <f>BOR!C8+LUMCON!C8+LOSFA!C8+ULSummary!C8+'LSU Summary'!C8+'SU Summary'!C8+'LCTCS Summary'!C8</f>
        <v>907746720</v>
      </c>
      <c r="D8" s="33">
        <f>BOR!D8+LUMCON!D8+LOSFA!D8+ULSummary!D8+'LSU Summary'!D8+'SU Summary'!D8+'LCTCS Summary'!D8</f>
        <v>1004440577</v>
      </c>
      <c r="E8" s="33">
        <f aca="true" t="shared" si="0" ref="E8:E29">D8-C8</f>
        <v>96693857</v>
      </c>
      <c r="F8" s="34">
        <f aca="true" t="shared" si="1" ref="F8:F29">IF(ISBLANK(E8),"  ",IF(C8&gt;0,E8/C8,IF(E8&gt;0,1,0)))</f>
        <v>0.10652074512590913</v>
      </c>
    </row>
    <row r="9" spans="1:6" s="24" customFormat="1" ht="26.25">
      <c r="A9" s="32" t="s">
        <v>13</v>
      </c>
      <c r="B9" s="33">
        <f>BOR!B9+LUMCON!B9+LOSFA!B9+ULSummary!B9+'LSU Summary'!B9+'SU Summary'!B9+'LCTCS Summary'!B9</f>
        <v>0</v>
      </c>
      <c r="C9" s="33">
        <f>BOR!C9+LUMCON!C9+LOSFA!C9+ULSummary!C9+'LSU Summary'!C9+'SU Summary'!C9+'LCTCS Summary'!C9</f>
        <v>0</v>
      </c>
      <c r="D9" s="33">
        <f>BOR!D9+LUMCON!D9+LOSFA!D9+ULSummary!D9+'LSU Summary'!D9+'SU Summary'!D9+'LCTCS Summary'!D9</f>
        <v>0</v>
      </c>
      <c r="E9" s="33">
        <f t="shared" si="0"/>
        <v>0</v>
      </c>
      <c r="F9" s="34">
        <f t="shared" si="1"/>
        <v>0</v>
      </c>
    </row>
    <row r="10" spans="1:6" s="24" customFormat="1" ht="26.25">
      <c r="A10" s="35" t="s">
        <v>14</v>
      </c>
      <c r="B10" s="33">
        <f>BOR!B10+LUMCON!B10+LOSFA!B10+ULSummary!B10+'LSU Summary'!B10+'SU Summary'!B10+'LCTCS Summary'!B10</f>
        <v>150958133.46</v>
      </c>
      <c r="C10" s="33">
        <f>BOR!C10+LUMCON!C10+LOSFA!C10+ULSummary!C10+'LSU Summary'!C10+'SU Summary'!C10+'LCTCS Summary'!C10</f>
        <v>175640343.18</v>
      </c>
      <c r="D10" s="33">
        <f>BOR!D10+LUMCON!D10+LOSFA!D10+ULSummary!D10+'LSU Summary'!D10+'SU Summary'!D10+'LCTCS Summary'!D10</f>
        <v>151637910</v>
      </c>
      <c r="E10" s="33">
        <f t="shared" si="0"/>
        <v>-24002433.180000007</v>
      </c>
      <c r="F10" s="34">
        <f t="shared" si="1"/>
        <v>-0.1366567198937991</v>
      </c>
    </row>
    <row r="11" spans="1:6" s="24" customFormat="1" ht="26.25">
      <c r="A11" s="37" t="s">
        <v>15</v>
      </c>
      <c r="B11" s="33">
        <f>BOR!B11+LUMCON!B11+LOSFA!B11+ULSummary!B11+'LSU Summary'!B11+'SU Summary'!B11+'LCTCS Summary'!B11</f>
        <v>92232.62</v>
      </c>
      <c r="C11" s="33">
        <f>BOR!C11+LUMCON!C11+LOSFA!C11+ULSummary!C11+'LSU Summary'!C11+'SU Summary'!C11+'LCTCS Summary'!C11</f>
        <v>118700</v>
      </c>
      <c r="D11" s="33">
        <f>BOR!D11+LUMCON!D11+LOSFA!D11+ULSummary!D11+'LSU Summary'!D11+'SU Summary'!D11+'LCTCS Summary'!D11</f>
        <v>0</v>
      </c>
      <c r="E11" s="33">
        <f t="shared" si="0"/>
        <v>-118700</v>
      </c>
      <c r="F11" s="34">
        <f t="shared" si="1"/>
        <v>-1</v>
      </c>
    </row>
    <row r="12" spans="1:6" s="24" customFormat="1" ht="26.25">
      <c r="A12" s="39" t="s">
        <v>16</v>
      </c>
      <c r="B12" s="33">
        <f>BOR!B12+LUMCON!B12+LOSFA!B12+ULSummary!B12+'LSU Summary'!B12+'SU Summary'!B12+'LCTCS Summary'!B12</f>
        <v>39902691.21</v>
      </c>
      <c r="C12" s="33">
        <f>BOR!C12+LUMCON!C12+LOSFA!C12+ULSummary!C12+'LSU Summary'!C12+'SU Summary'!C12+'LCTCS Summary'!C12</f>
        <v>46037344.18</v>
      </c>
      <c r="D12" s="33">
        <f>BOR!D12+LUMCON!D12+LOSFA!D12+ULSummary!D12+'LSU Summary'!D12+'SU Summary'!D12+'LCTCS Summary'!D12</f>
        <v>44649070</v>
      </c>
      <c r="E12" s="33">
        <f t="shared" si="0"/>
        <v>-1388274.1799999997</v>
      </c>
      <c r="F12" s="34">
        <f t="shared" si="1"/>
        <v>-0.03015539242602764</v>
      </c>
    </row>
    <row r="13" spans="1:6" s="24" customFormat="1" ht="26.25">
      <c r="A13" s="39" t="s">
        <v>17</v>
      </c>
      <c r="B13" s="33">
        <f>BOR!B13+LUMCON!B13+LOSFA!B13+ULSummary!B13+'LSU Summary'!B13+'SU Summary'!B13+'LCTCS Summary'!B13</f>
        <v>20727841.01</v>
      </c>
      <c r="C13" s="33">
        <f>BOR!C13+LUMCON!C13+LOSFA!C13+ULSummary!C13+'LSU Summary'!C13+'SU Summary'!C13+'LCTCS Summary'!C13</f>
        <v>26611900</v>
      </c>
      <c r="D13" s="33">
        <f>BOR!D13+LUMCON!D13+LOSFA!D13+ULSummary!D13+'LSU Summary'!D13+'SU Summary'!D13+'LCTCS Summary'!D13</f>
        <v>7017842</v>
      </c>
      <c r="E13" s="33">
        <f t="shared" si="0"/>
        <v>-19594058</v>
      </c>
      <c r="F13" s="34">
        <f t="shared" si="1"/>
        <v>-0.7362893292098648</v>
      </c>
    </row>
    <row r="14" spans="1:6" s="24" customFormat="1" ht="26.25">
      <c r="A14" s="39" t="s">
        <v>18</v>
      </c>
      <c r="B14" s="33">
        <f>BOR!B14+LUMCON!B14+LOSFA!B14+ULSummary!B14+'LSU Summary'!B14+'SU Summary'!B14+'LCTCS Summary'!B14</f>
        <v>529646</v>
      </c>
      <c r="C14" s="33">
        <f>BOR!C14+LUMCON!C14+LOSFA!C14+ULSummary!C14+'LSU Summary'!C14+'SU Summary'!C14+'LCTCS Summary'!C14</f>
        <v>529646</v>
      </c>
      <c r="D14" s="33">
        <f>BOR!D14+LUMCON!D14+LOSFA!D14+ULSummary!D14+'LSU Summary'!D14+'SU Summary'!D14+'LCTCS Summary'!D14</f>
        <v>523243</v>
      </c>
      <c r="E14" s="33">
        <f t="shared" si="0"/>
        <v>-6403</v>
      </c>
      <c r="F14" s="34">
        <f t="shared" si="1"/>
        <v>-0.012089206753189866</v>
      </c>
    </row>
    <row r="15" spans="1:6" s="24" customFormat="1" ht="26.25">
      <c r="A15" s="39" t="s">
        <v>19</v>
      </c>
      <c r="B15" s="33">
        <f>BOR!B15+LUMCON!B15+LOSFA!B15+ULSummary!B15+'LSU Summary'!B15+'SU Summary'!B15+'LCTCS Summary'!B15</f>
        <v>1741103</v>
      </c>
      <c r="C15" s="33">
        <f>BOR!C15+LUMCON!C15+LOSFA!C15+ULSummary!C15+'LSU Summary'!C15+'SU Summary'!C15+'LCTCS Summary'!C15</f>
        <v>1741103</v>
      </c>
      <c r="D15" s="33">
        <f>BOR!D15+LUMCON!D15+LOSFA!D15+ULSummary!D15+'LSU Summary'!D15+'SU Summary'!D15+'LCTCS Summary'!D15</f>
        <v>1430889</v>
      </c>
      <c r="E15" s="33">
        <f t="shared" si="0"/>
        <v>-310214</v>
      </c>
      <c r="F15" s="34">
        <f t="shared" si="1"/>
        <v>-0.17817096403831365</v>
      </c>
    </row>
    <row r="16" spans="1:6" s="24" customFormat="1" ht="26.25">
      <c r="A16" s="39" t="s">
        <v>20</v>
      </c>
      <c r="B16" s="33">
        <f>BOR!B16+LUMCON!B16+LOSFA!B16+ULSummary!B16+'LSU Summary'!B16+'SU Summary'!B16+'LCTCS Summary'!B16</f>
        <v>50000</v>
      </c>
      <c r="C16" s="33">
        <f>BOR!C16+LUMCON!C16+LOSFA!C16+ULSummary!C16+'LSU Summary'!C16+'SU Summary'!C16+'LCTCS Summary'!C16</f>
        <v>50000</v>
      </c>
      <c r="D16" s="33">
        <f>BOR!D16+LUMCON!D16+LOSFA!D16+ULSummary!D16+'LSU Summary'!D16+'SU Summary'!D16+'LCTCS Summary'!D16</f>
        <v>50000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BOR!B17+LUMCON!B17+LOSFA!B17+ULSummary!B17+'LSU Summary'!B17+'SU Summary'!B17+'LCTCS Summary'!B17</f>
        <v>920000</v>
      </c>
      <c r="C17" s="33">
        <f>BOR!C17+LUMCON!C17+LOSFA!C17+ULSummary!C17+'LSU Summary'!C17+'SU Summary'!C17+'LCTCS Summary'!C17</f>
        <v>920000</v>
      </c>
      <c r="D17" s="33">
        <f>BOR!D17+LUMCON!D17+LOSFA!D17+ULSummary!D17+'LSU Summary'!D17+'SU Summary'!D17+'LCTCS Summary'!D17</f>
        <v>750000</v>
      </c>
      <c r="E17" s="33">
        <f t="shared" si="0"/>
        <v>-170000</v>
      </c>
      <c r="F17" s="34">
        <f t="shared" si="1"/>
        <v>-0.18478260869565216</v>
      </c>
    </row>
    <row r="18" spans="1:6" s="24" customFormat="1" ht="26.25">
      <c r="A18" s="39" t="s">
        <v>22</v>
      </c>
      <c r="B18" s="33">
        <f>BOR!B18+LUMCON!B18+LOSFA!B18+ULSummary!B18+'LSU Summary'!B18+'SU Summary'!B18+'LCTCS Summary'!B18</f>
        <v>750000</v>
      </c>
      <c r="C18" s="33">
        <f>BOR!C18+LUMCON!C18+LOSFA!C18+ULSummary!C18+'LSU Summary'!C18+'SU Summary'!C18+'LCTCS Summary'!C18</f>
        <v>750000</v>
      </c>
      <c r="D18" s="33">
        <f>BOR!D18+LUMCON!D18+LOSFA!D18+ULSummary!D18+'LSU Summary'!D18+'SU Summary'!D18+'LCTCS Summary'!D18</f>
        <v>750000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BOR!B19+LUMCON!B19+LOSFA!B19+ULSummary!B19+'LSU Summary'!B19+'SU Summary'!B19+'LCTCS Summary'!B19</f>
        <v>3252079.75</v>
      </c>
      <c r="C19" s="33">
        <f>BOR!C19+LUMCON!C19+LOSFA!C19+ULSummary!C19+'LSU Summary'!C19+'SU Summary'!C19+'LCTCS Summary'!C19</f>
        <v>3400000</v>
      </c>
      <c r="D19" s="33">
        <f>BOR!D19+LUMCON!D19+LOSFA!D19+ULSummary!D19+'LSU Summary'!D19+'SU Summary'!D19+'LCTCS Summary'!D19</f>
        <v>3370352</v>
      </c>
      <c r="E19" s="33">
        <f t="shared" si="0"/>
        <v>-29648</v>
      </c>
      <c r="F19" s="34">
        <f t="shared" si="1"/>
        <v>-0.00872</v>
      </c>
    </row>
    <row r="20" spans="1:6" s="24" customFormat="1" ht="26.25">
      <c r="A20" s="39" t="s">
        <v>24</v>
      </c>
      <c r="B20" s="33">
        <f>BOR!B20+LUMCON!B20+LOSFA!B20+ULSummary!B20+'LSU Summary'!B20+'SU Summary'!B20+'LCTCS Summary'!B20</f>
        <v>210000</v>
      </c>
      <c r="C20" s="33">
        <f>BOR!C20+LUMCON!C20+LOSFA!C20+ULSummary!C20+'LSU Summary'!C20+'SU Summary'!C20+'LCTCS Summary'!C20</f>
        <v>210000</v>
      </c>
      <c r="D20" s="33">
        <f>BOR!D20+LUMCON!D20+LOSFA!D20+ULSummary!D20+'LSU Summary'!D20+'SU Summary'!D20+'LCTCS Summary'!D20</f>
        <v>210000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BOR!B21+LUMCON!B21+LOSFA!B21+ULSummary!B21+'LSU Summary'!B21+'SU Summary'!B21+'LCTCS Summary'!B21</f>
        <v>0</v>
      </c>
      <c r="C21" s="33">
        <f>BOR!C21+LUMCON!C21+LOSFA!C21+ULSummary!C21+'LSU Summary'!C21+'SU Summary'!C21+'LCTCS Summary'!C21</f>
        <v>0</v>
      </c>
      <c r="D21" s="33">
        <f>BOR!D21+LUMCON!D21+LOSFA!D21+ULSummary!D21+'LSU Summary'!D21+'SU Summary'!D21+'LCTCS Summary'!D21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BOR!B22+LUMCON!B22+LOSFA!B22+ULSummary!B22+'LSU Summary'!B22+'SU Summary'!B22+'LCTCS Summary'!B22</f>
        <v>19695535</v>
      </c>
      <c r="C22" s="33">
        <f>BOR!C22+LUMCON!C22+LOSFA!C22+ULSummary!C22+'LSU Summary'!C22+'SU Summary'!C22+'LCTCS Summary'!C22</f>
        <v>24230000</v>
      </c>
      <c r="D22" s="33">
        <f>BOR!D22+LUMCON!D22+LOSFA!D22+ULSummary!D22+'LSU Summary'!D22+'SU Summary'!D22+'LCTCS Summary'!D22</f>
        <v>24230000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BOR!B23+LUMCON!B23+LOSFA!B23+ULSummary!B23+'LSU Summary'!B23+'SU Summary'!B23+'LCTCS Summary'!B23</f>
        <v>4622.35</v>
      </c>
      <c r="C23" s="33">
        <f>BOR!C23+LUMCON!C23+LOSFA!C23+ULSummary!C23+'LSU Summary'!C23+'SU Summary'!C23+'LCTCS Summary'!C23</f>
        <v>200000</v>
      </c>
      <c r="D23" s="33">
        <f>BOR!D23+LUMCON!D23+LOSFA!D23+ULSummary!D23+'LSU Summary'!D23+'SU Summary'!D23+'LCTCS Summary'!D23</f>
        <v>200000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BOR!B24+LUMCON!B24+LOSFA!B24+ULSummary!B24+'LSU Summary'!B24+'SU Summary'!B24+'LCTCS Summary'!B24</f>
        <v>10000000</v>
      </c>
      <c r="C24" s="33">
        <f>BOR!C24+LUMCON!C24+LOSFA!C24+ULSummary!C24+'LSU Summary'!C24+'SU Summary'!C24+'LCTCS Summary'!C24</f>
        <v>10000000</v>
      </c>
      <c r="D24" s="33">
        <f>BOR!D24+LUMCON!D24+LOSFA!D24+ULSummary!D24+'LSU Summary'!D24+'SU Summary'!D24+'LCTCS Summary'!D24</f>
        <v>10000000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BOR!B25+LUMCON!B25+LOSFA!B25+ULSummary!B25+'LSU Summary'!B25+'SU Summary'!B25+'LCTCS Summary'!B25</f>
        <v>52112</v>
      </c>
      <c r="C25" s="33">
        <f>BOR!C25+LUMCON!C25+LOSFA!C25+ULSummary!C25+'LSU Summary'!C25+'SU Summary'!C25+'LCTCS Summary'!C25</f>
        <v>60000</v>
      </c>
      <c r="D25" s="33">
        <f>BOR!D25+LUMCON!D25+LOSFA!D25+ULSummary!D25+'LSU Summary'!D25+'SU Summary'!D25+'LCTCS Summary'!D25</f>
        <v>60000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BOR!B26+LUMCON!B26+LOSFA!B26+ULSummary!B26+'LSU Summary'!B26+'SU Summary'!B26+'LCTCS Summary'!B26</f>
        <v>319900</v>
      </c>
      <c r="C26" s="33">
        <f>BOR!C26+LUMCON!C26+LOSFA!C26+ULSummary!C26+'LSU Summary'!C26+'SU Summary'!C26+'LCTCS Summary'!C26</f>
        <v>319900</v>
      </c>
      <c r="D26" s="33">
        <f>BOR!D26+LUMCON!D26+LOSFA!D26+ULSummary!D26+'LSU Summary'!D26+'SU Summary'!D26+'LCTCS Summary'!D26</f>
        <v>298280</v>
      </c>
      <c r="E26" s="33">
        <f t="shared" si="0"/>
        <v>-21620</v>
      </c>
      <c r="F26" s="34">
        <f t="shared" si="1"/>
        <v>-0.06758361988121288</v>
      </c>
    </row>
    <row r="27" spans="1:6" s="24" customFormat="1" ht="26.25">
      <c r="A27" s="40" t="s">
        <v>31</v>
      </c>
      <c r="B27" s="33">
        <f>BOR!B27+LUMCON!B27+LOSFA!B27+ULSummary!B27+'LSU Summary'!B27+'SU Summary'!B27+'LCTCS Summary'!B27</f>
        <v>52510370</v>
      </c>
      <c r="C27" s="33">
        <f>BOR!C27+LUMCON!C27+LOSFA!C27+ULSummary!C27+'LSU Summary'!C27+'SU Summary'!C27+'LCTCS Summary'!C27</f>
        <v>60261750</v>
      </c>
      <c r="D27" s="33">
        <f>BOR!D27+LUMCON!D27+LOSFA!D27+ULSummary!D27+'LSU Summary'!D27+'SU Summary'!D27+'LCTCS Summary'!D27</f>
        <v>57898234</v>
      </c>
      <c r="E27" s="33">
        <f t="shared" si="0"/>
        <v>-2363516</v>
      </c>
      <c r="F27" s="34">
        <f t="shared" si="1"/>
        <v>-0.03922083245176252</v>
      </c>
    </row>
    <row r="28" spans="1:6" s="24" customFormat="1" ht="26.25">
      <c r="A28" s="40" t="s">
        <v>87</v>
      </c>
      <c r="B28" s="33">
        <f>BOR!B28+LUMCON!B28+LOSFA!B28+ULSummary!B28+'LSU Summary'!B28+'SU Summary'!B28+'LCTCS Summary'!B28</f>
        <v>200000</v>
      </c>
      <c r="C28" s="33">
        <f>BOR!C28+LUMCON!C28+LOSFA!C28+ULSummary!C28+'LSU Summary'!C28+'SU Summary'!C28+'LCTCS Summary'!C28</f>
        <v>200000</v>
      </c>
      <c r="D28" s="33">
        <f>BOR!D28+LUMCON!D28+LOSFA!D28+ULSummary!D28+'LSU Summary'!D28+'SU Summary'!D28+'LCTCS Summary'!D28</f>
        <v>200000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BOR!B29+LUMCON!B30+LOSFA!B29+ULSummary!B29+'LSU Summary'!B29+'SU Summary'!B29+'LCTCS Summary'!B29</f>
        <v>0</v>
      </c>
      <c r="C29" s="33">
        <f>BOR!C29+LUMCON!C30+LOSFA!C29+ULSummary!C29+'LSU Summary'!C29+'SU Summary'!C29+'LCTCS Summary'!C29</f>
        <v>0</v>
      </c>
      <c r="D29" s="33">
        <f>BOR!D29+LUMCON!D30+LOSFA!D29+ULSummary!D29+'LSU Summary'!D29+'SU Summary'!D29+'LCTCS Summary'!D29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BOR!B31+LUMCON!B32+LOSFA!B31+ULSummary!B31+'LSU Summary'!B31+'SU Summary'!B31+'LCTCS Summary'!B31</f>
        <v>0</v>
      </c>
      <c r="C31" s="33">
        <f>BOR!C31+LUMCON!C32+LOSFA!C31+ULSummary!C31+'LSU Summary'!C31+'SU Summary'!C31+'LCTCS Summary'!C31</f>
        <v>0</v>
      </c>
      <c r="D31" s="33">
        <f>BOR!D31+LUMCON!D32+LOSFA!D31+ULSummary!D31+'LSU Summary'!D31+'SU Summary'!D31+'LCTCS Summary'!D31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BOR!B33+LUMCON!B34+LOSFA!B33+ULSummary!B33+'LSU Summary'!B33+'SU Summary'!B33+'LCTCS Summary'!B33</f>
        <v>0</v>
      </c>
      <c r="C33" s="33">
        <f>BOR!C33+LUMCON!C34+LOSFA!C33+ULSummary!C33+'LSU Summary'!C33+'SU Summary'!C33+'LCTCS Summary'!C33</f>
        <v>0</v>
      </c>
      <c r="D33" s="33">
        <f>BOR!D33+LUMCON!D34+LOSFA!D33+ULSummary!D33+'LSU Summary'!D33+'SU Summary'!D33+'LCTCS Summary'!D33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24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6" s="46" customFormat="1" ht="26.25">
      <c r="A35" s="43" t="s">
        <v>38</v>
      </c>
      <c r="B35" s="67">
        <f>B33+B31+B10+B9+B8</f>
        <v>1058173179.1300001</v>
      </c>
      <c r="C35" s="67">
        <f>C33+C31+C10+C9+C8</f>
        <v>1083387063.18</v>
      </c>
      <c r="D35" s="67">
        <f>D33+D31+D10+D9+D8</f>
        <v>1156078487</v>
      </c>
      <c r="E35" s="52">
        <f>D35-C35</f>
        <v>72691423.81999993</v>
      </c>
      <c r="F35" s="45">
        <f>IF(ISBLANK(E35),"  ",IF(C35&gt;0,E35/C35,IF(E35&gt;0,1,0)))</f>
        <v>0.06709644806596936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BOR!B37+LUMCON!B38+LOSFA!B37+ULSummary!B37+'LSU Summary'!B37+'SU Summary'!B37+'LCTCS Summary'!B37</f>
        <v>0</v>
      </c>
      <c r="C37" s="33">
        <f>BOR!C37+LUMCON!C38+LOSFA!C37+ULSummary!C37+'LSU Summary'!C37+'SU Summary'!C37+'LCTCS Summary'!C37</f>
        <v>0</v>
      </c>
      <c r="D37" s="33">
        <f>BOR!D37+LUMCON!D38+LOSFA!D37+ULSummary!D37+'LSU Summary'!D37+'SU Summary'!D37+'LCTCS Summary'!D37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BOR!B38+LUMCON!B39+LOSFA!B38+ULSummary!B38+'LSU Summary'!B38+'SU Summary'!B38+'LCTCS Summary'!B38</f>
        <v>0</v>
      </c>
      <c r="C38" s="33">
        <f>BOR!C38+LUMCON!C39+LOSFA!C38+ULSummary!C38+'LSU Summary'!C38+'SU Summary'!C38+'LCTCS Summary'!C38</f>
        <v>0</v>
      </c>
      <c r="D38" s="33">
        <f>BOR!D38+LUMCON!D39+LOSFA!D38+ULSummary!D38+'LSU Summary'!D38+'SU Summary'!D38+'LCTCS Summary'!D38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BOR!B39+LUMCON!B40+LOSFA!B39+ULSummary!B39+'LSU Summary'!B39+'SU Summary'!B39+'LCTCS Summary'!B39</f>
        <v>5157072.5600000005</v>
      </c>
      <c r="C39" s="33">
        <f>BOR!C39+LUMCON!C40+LOSFA!C39+ULSummary!C39+'LSU Summary'!C39+'SU Summary'!C39+'LCTCS Summary'!C39</f>
        <v>0</v>
      </c>
      <c r="D39" s="33">
        <f>BOR!D39+LUMCON!D40+LOSFA!D39+ULSummary!D39+'LSU Summary'!D39+'SU Summary'!D39+'LCTCS Summary'!D39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BOR!B40+LUMCON!B41+LOSFA!B40+ULSummary!B40+'LSU Summary'!B40+'SU Summary'!B40+'LCTCS Summary'!B40</f>
        <v>0</v>
      </c>
      <c r="C40" s="33">
        <f>BOR!C40+LUMCON!C41+LOSFA!C40+ULSummary!C40+'LSU Summary'!C40+'SU Summary'!C40+'LCTCS Summary'!C40</f>
        <v>0</v>
      </c>
      <c r="D40" s="33">
        <f>BOR!D40+LUMCON!D41+LOSFA!D40+ULSummary!D40+'LSU Summary'!D40+'SU Summary'!D40+'LCTCS Summary'!D40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BOR!B41+LUMCON!B42+LOSFA!B41+ULSummary!B41+'LSU Summary'!B41+'SU Summary'!B41+'LCTCS Summary'!B41</f>
        <v>0</v>
      </c>
      <c r="C41" s="33">
        <f>BOR!C41+LUMCON!C42+LOSFA!C41+ULSummary!C41+'LSU Summary'!C41+'SU Summary'!C41+'LCTCS Summary'!C41</f>
        <v>0</v>
      </c>
      <c r="D41" s="33">
        <f>BOR!D41+LUMCON!D42+LOSFA!D41+ULSummary!D41+'LSU Summary'!D41+'SU Summary'!D41+'LCTCS Summary'!D41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SUM(B37:B41)</f>
        <v>5157072.5600000005</v>
      </c>
      <c r="C42" s="52">
        <f>SUM(C37:C41)</f>
        <v>0</v>
      </c>
      <c r="D42" s="52">
        <f>SUM(D37:D41)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BOR!B44+LUMCON!B44+LOSFA!B44+ULSummary!B44+'LSU Summary'!B44+'SU Summary'!B44+'LCTCS Summary'!B44</f>
        <v>13675837.82</v>
      </c>
      <c r="C44" s="52">
        <f>BOR!C44+LUMCON!C44+LOSFA!C44+ULSummary!C44+'LSU Summary'!C44+'SU Summary'!C44+'LCTCS Summary'!C44</f>
        <v>27026685</v>
      </c>
      <c r="D44" s="52">
        <f>BOR!D44+LUMCON!D44+LOSFA!D44+ULSummary!D44+'LSU Summary'!D44+'SU Summary'!D44+'LCTCS Summary'!D44</f>
        <v>23555601</v>
      </c>
      <c r="E44" s="52">
        <f>D44-C44</f>
        <v>-3471084</v>
      </c>
      <c r="F44" s="45">
        <f>IF(ISBLANK(E44),"  ",IF(C44&gt;0,E44/C44,IF(E44&gt;0,1,0)))</f>
        <v>-0.12843173330358496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BOR!B46+LUMCON!B46+LOSFA!B46+ULSummary!B46+'LSU Summary'!B46+'SU Summary'!B46+'LCTCS Summary'!B46</f>
        <v>0</v>
      </c>
      <c r="C46" s="52">
        <f>BOR!C46+LUMCON!C46+LOSFA!C46+ULSummary!C46+'LSU Summary'!C46+'SU Summary'!C46+'LCTCS Summary'!C46</f>
        <v>0</v>
      </c>
      <c r="D46" s="52">
        <f>BOR!D46+LUMCON!D46+LOSFA!D46+ULSummary!D46+'LSU Summary'!D46+'SU Summary'!D46+'LCTCS Summary'!D46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BOR!B48+LUMCON!B48+LOSFA!B48+ULSummary!B48+'LSU Summary'!B48+'SU Summary'!B48+'LCTCS Summary'!B48</f>
        <v>1389513376.46</v>
      </c>
      <c r="C48" s="52">
        <f>BOR!C48+LUMCON!C48+LOSFA!C48+ULSummary!C48+'LSU Summary'!C48+'SU Summary'!C48+'LCTCS Summary'!C48</f>
        <v>1431673994.5900002</v>
      </c>
      <c r="D48" s="52">
        <f>BOR!D48+LUMCON!D48+LOSFA!D48+ULSummary!D48+'LSU Summary'!D48+'SU Summary'!D48+'LCTCS Summary'!D48</f>
        <v>1457186210.13</v>
      </c>
      <c r="E48" s="52">
        <f>D48-C48</f>
        <v>25512215.53999996</v>
      </c>
      <c r="F48" s="45">
        <f>IF(ISBLANK(E48),"  ",IF(C48&gt;0,E48/C48,IF(E48&gt;0,1,0)))</f>
        <v>0.017819849795697448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BOR!B50+LUMCON!B50+LOSFA!B50+ULSummary!B50+'LSU Summary'!B50+'SU Summary'!B50+'LCTCS Summary'!B50</f>
        <v>59112729</v>
      </c>
      <c r="C50" s="52">
        <f>BOR!C50+LUMCON!C50+LOSFA!C50+ULSummary!C50+'LSU Summary'!C50+'SU Summary'!C50+'LCTCS Summary'!C50</f>
        <v>79903497</v>
      </c>
      <c r="D50" s="52">
        <f>BOR!D50+LUMCON!D50+LOSFA!D50+ULSummary!D50+'LSU Summary'!D50+'SU Summary'!D50+'LCTCS Summary'!D50</f>
        <v>79903497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BOR!B52+LUMCON!B53+LOSFA!B52+ULSummary!B52+'LSU Summary'!B52+'SU Summary'!B52+'LCTCS Summary'!B52</f>
        <v>0</v>
      </c>
      <c r="C52" s="52">
        <f>BOR!C52+LUMCON!C53+LOSFA!C52+ULSummary!C52+'LSU Summary'!C52+'SU Summary'!C52+'LCTCS Summary'!C52</f>
        <v>0</v>
      </c>
      <c r="D52" s="52">
        <f>BOR!D52+LUMCON!D53+LOSFA!D52+ULSummary!D52+'LSU Summary'!D52+'SU Summary'!D52+'LCTCS Summary'!D52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BOR!B54+LUMCON!B54+LOSFA!B54+ULSummary!B54+'LSU Summary'!B54+'SU Summary'!B54+'LCTCS Summary'!B54</f>
        <v>2515318050.85</v>
      </c>
      <c r="C54" s="52">
        <f>BOR!C54+LUMCON!C54+LOSFA!C54+ULSummary!C54+'LSU Summary'!C54+'SU Summary'!C54+'LCTCS Summary'!C54</f>
        <v>2621991239.77</v>
      </c>
      <c r="D54" s="52">
        <f>BOR!D54+LUMCON!D54+LOSFA!D54+ULSummary!D54+'LSU Summary'!D54+'SU Summary'!D54+'LCTCS Summary'!D54</f>
        <v>2716723795.1299996</v>
      </c>
      <c r="E54" s="52">
        <f>D54-C54</f>
        <v>94732555.35999966</v>
      </c>
      <c r="F54" s="45">
        <f>IF(ISBLANK(E54),"  ",IF(C54&gt;0,E54/C54,IF(E54&gt;0,1,0)))</f>
        <v>0.036130004525991306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BOR!B58+LUMCON!B58+LOSFA!B58+ULSummary!B58+'LSU Summary'!B58+'SU Summary'!B58+'LCTCS Summary'!B58</f>
        <v>837266545.74</v>
      </c>
      <c r="C58" s="33">
        <f>BOR!C58+LUMCON!C58+LOSFA!C58+ULSummary!C58+'LSU Summary'!C58+'SU Summary'!C58+'LCTCS Summary'!C58</f>
        <v>861297909.7798939</v>
      </c>
      <c r="D58" s="33">
        <f>BOR!D58+LUMCON!D58+LOSFA!D58+ULSummary!D58+'LSU Summary'!D58+'SU Summary'!D58+'LCTCS Summary'!D58</f>
        <v>882255124.8798939</v>
      </c>
      <c r="E58" s="33">
        <f aca="true" t="shared" si="4" ref="E58:E71">D58-C58</f>
        <v>20957215.100000024</v>
      </c>
      <c r="F58" s="34">
        <f aca="true" t="shared" si="5" ref="F58:F71">IF(ISBLANK(E58),"  ",IF(C58&gt;0,E58/C58,IF(E58&gt;0,1,0)))</f>
        <v>0.024332132775471003</v>
      </c>
    </row>
    <row r="59" spans="1:6" s="24" customFormat="1" ht="26.25">
      <c r="A59" s="39" t="s">
        <v>55</v>
      </c>
      <c r="B59" s="33">
        <f>BOR!B59+LUMCON!B59+LOSFA!B59+ULSummary!B59+'LSU Summary'!B59+'SU Summary'!B59+'LCTCS Summary'!B59</f>
        <v>175700577.066923</v>
      </c>
      <c r="C59" s="33">
        <f>BOR!C59+LUMCON!C59+LOSFA!C59+ULSummary!C59+'LSU Summary'!C59+'SU Summary'!C59+'LCTCS Summary'!C59</f>
        <v>186424202</v>
      </c>
      <c r="D59" s="33">
        <f>BOR!D59+LUMCON!D59+LOSFA!D59+ULSummary!D59+'LSU Summary'!D59+'SU Summary'!D59+'LCTCS Summary'!D59</f>
        <v>173403276.90535504</v>
      </c>
      <c r="E59" s="33">
        <f t="shared" si="4"/>
        <v>-13020925.094644964</v>
      </c>
      <c r="F59" s="34">
        <f t="shared" si="5"/>
        <v>-0.06984567966473025</v>
      </c>
    </row>
    <row r="60" spans="1:6" s="24" customFormat="1" ht="26.25">
      <c r="A60" s="39" t="s">
        <v>56</v>
      </c>
      <c r="B60" s="33">
        <f>BOR!B60+LUMCON!B60+LOSFA!B60+ULSummary!B60+'LSU Summary'!B60+'SU Summary'!B60+'LCTCS Summary'!B60</f>
        <v>48732567.473129444</v>
      </c>
      <c r="C60" s="33">
        <f>BOR!C60+LUMCON!C60+LOSFA!C60+ULSummary!C60+'LSU Summary'!C60+'SU Summary'!C60+'LCTCS Summary'!C60</f>
        <v>51896272</v>
      </c>
      <c r="D60" s="33">
        <f>BOR!D60+LUMCON!D60+LOSFA!D60+ULSummary!D60+'LSU Summary'!D60+'SU Summary'!D60+'LCTCS Summary'!D60</f>
        <v>45802533.440859765</v>
      </c>
      <c r="E60" s="33">
        <f t="shared" si="4"/>
        <v>-6093738.559140235</v>
      </c>
      <c r="F60" s="34">
        <f t="shared" si="5"/>
        <v>-0.1174215087962433</v>
      </c>
    </row>
    <row r="61" spans="1:6" s="24" customFormat="1" ht="26.25">
      <c r="A61" s="39" t="s">
        <v>57</v>
      </c>
      <c r="B61" s="33">
        <f>BOR!B61+LUMCON!B61+LOSFA!B61+ULSummary!B61+'LSU Summary'!B61+'SU Summary'!B61+'LCTCS Summary'!B61</f>
        <v>216352522.39010215</v>
      </c>
      <c r="C61" s="33">
        <f>BOR!C61+LUMCON!C61+LOSFA!C61+ULSummary!C61+'LSU Summary'!C61+'SU Summary'!C61+'LCTCS Summary'!C61</f>
        <v>221785957.44</v>
      </c>
      <c r="D61" s="33">
        <f>BOR!D61+LUMCON!D61+LOSFA!D61+ULSummary!D61+'LSU Summary'!D61+'SU Summary'!D61+'LCTCS Summary'!D61</f>
        <v>230558943.35511267</v>
      </c>
      <c r="E61" s="33">
        <f t="shared" si="4"/>
        <v>8772985.915112674</v>
      </c>
      <c r="F61" s="34">
        <f t="shared" si="5"/>
        <v>0.03955609280396411</v>
      </c>
    </row>
    <row r="62" spans="1:6" s="24" customFormat="1" ht="26.25">
      <c r="A62" s="39" t="s">
        <v>58</v>
      </c>
      <c r="B62" s="33">
        <f>BOR!B62+LUMCON!B62+LOSFA!B62+ULSummary!B62+'LSU Summary'!B62+'SU Summary'!B62+'LCTCS Summary'!B62</f>
        <v>107389877.06</v>
      </c>
      <c r="C62" s="33">
        <f>BOR!C62+LUMCON!C62+LOSFA!C62+ULSummary!C62+'LSU Summary'!C62+'SU Summary'!C62+'LCTCS Summary'!C62</f>
        <v>116516404.35880561</v>
      </c>
      <c r="D62" s="33">
        <f>BOR!D62+LUMCON!D62+LOSFA!D62+ULSummary!D62+'LSU Summary'!D62+'SU Summary'!D62+'LCTCS Summary'!D62</f>
        <v>119399726.36880562</v>
      </c>
      <c r="E62" s="33">
        <f t="shared" si="4"/>
        <v>2883322.0100000054</v>
      </c>
      <c r="F62" s="34">
        <f t="shared" si="5"/>
        <v>0.024746060658729047</v>
      </c>
    </row>
    <row r="63" spans="1:6" s="24" customFormat="1" ht="26.25">
      <c r="A63" s="39" t="s">
        <v>59</v>
      </c>
      <c r="B63" s="33">
        <f>BOR!B63+LUMCON!B63+LOSFA!B63+ULSummary!B63+'LSU Summary'!B63+'SU Summary'!B63+'LCTCS Summary'!B63</f>
        <v>346548469.99689716</v>
      </c>
      <c r="C63" s="33">
        <f>BOR!C63+LUMCON!C63+LOSFA!C63+ULSummary!C63+'LSU Summary'!C63+'SU Summary'!C63+'LCTCS Summary'!C63</f>
        <v>366288811.9855731</v>
      </c>
      <c r="D63" s="33">
        <f>BOR!D63+LUMCON!D63+LOSFA!D63+ULSummary!D63+'LSU Summary'!D63+'SU Summary'!D63+'LCTCS Summary'!D63</f>
        <v>385869597.8634669</v>
      </c>
      <c r="E63" s="33">
        <f t="shared" si="4"/>
        <v>19580785.877893806</v>
      </c>
      <c r="F63" s="34">
        <f t="shared" si="5"/>
        <v>0.05345723166304361</v>
      </c>
    </row>
    <row r="64" spans="1:6" s="24" customFormat="1" ht="26.25">
      <c r="A64" s="39" t="s">
        <v>60</v>
      </c>
      <c r="B64" s="33">
        <f>BOR!B64+LUMCON!B64+LOSFA!B64+ULSummary!B64+'LSU Summary'!B64+'SU Summary'!B64+'LCTCS Summary'!B64</f>
        <v>451560159.22</v>
      </c>
      <c r="C64" s="33">
        <f>BOR!C64+LUMCON!C64+LOSFA!C64+ULSummary!C64+'LSU Summary'!C64+'SU Summary'!C64+'LCTCS Summary'!C64</f>
        <v>465280487.4</v>
      </c>
      <c r="D64" s="33">
        <f>BOR!D64+LUMCON!D64+LOSFA!D64+ULSummary!D64+'LSU Summary'!D64+'SU Summary'!D64+'LCTCS Summary'!D64</f>
        <v>539674283</v>
      </c>
      <c r="E64" s="33">
        <f t="shared" si="4"/>
        <v>74393795.60000002</v>
      </c>
      <c r="F64" s="34">
        <f t="shared" si="5"/>
        <v>0.15989021163495287</v>
      </c>
    </row>
    <row r="65" spans="1:6" s="24" customFormat="1" ht="26.25">
      <c r="A65" s="39" t="s">
        <v>61</v>
      </c>
      <c r="B65" s="33">
        <f>BOR!B65+LUMCON!B65+LOSFA!B65+ULSummary!B65+'LSU Summary'!B65+'SU Summary'!B65+'LCTCS Summary'!B65</f>
        <v>233858556.21531183</v>
      </c>
      <c r="C65" s="33">
        <f>BOR!C65+LUMCON!C65+LOSFA!C65+ULSummary!C65+'LSU Summary'!C65+'SU Summary'!C65+'LCTCS Summary'!C65</f>
        <v>246078647.85805297</v>
      </c>
      <c r="D65" s="33">
        <f>BOR!D65+LUMCON!D65+LOSFA!D65+ULSummary!D65+'LSU Summary'!D65+'SU Summary'!D65+'LCTCS Summary'!D65</f>
        <v>243488159.3591187</v>
      </c>
      <c r="E65" s="33">
        <f t="shared" si="4"/>
        <v>-2590488.498934269</v>
      </c>
      <c r="F65" s="34">
        <f t="shared" si="5"/>
        <v>-0.010527075475595737</v>
      </c>
    </row>
    <row r="66" spans="1:6" s="46" customFormat="1" ht="26.25">
      <c r="A66" s="59" t="s">
        <v>62</v>
      </c>
      <c r="B66" s="52">
        <f>BOR!B66+LUMCON!B66+LOSFA!B66+ULSummary!B66+'LSU Summary'!B66+'SU Summary'!B66+'LCTCS Summary'!B66</f>
        <v>2417409275.162364</v>
      </c>
      <c r="C66" s="52">
        <f>BOR!C66+LUMCON!C66+LOSFA!C66+ULSummary!C66+'LSU Summary'!C66+'SU Summary'!C66+'LCTCS Summary'!C66</f>
        <v>2515568692.822325</v>
      </c>
      <c r="D66" s="52">
        <f>BOR!D66+LUMCON!D66+LOSFA!D66+ULSummary!D66+'LSU Summary'!D66+'SU Summary'!D66+'LCTCS Summary'!D66</f>
        <v>2620451645.172613</v>
      </c>
      <c r="E66" s="52">
        <f t="shared" si="4"/>
        <v>104882952.35028791</v>
      </c>
      <c r="F66" s="45">
        <f t="shared" si="5"/>
        <v>0.04169353540197513</v>
      </c>
    </row>
    <row r="67" spans="1:6" s="24" customFormat="1" ht="26.25">
      <c r="A67" s="39" t="s">
        <v>63</v>
      </c>
      <c r="B67" s="33">
        <f>BOR!B67+LUMCON!B67+LOSFA!B67+ULSummary!B67+'LSU Summary'!B67+'SU Summary'!B67+'LCTCS Summary'!B67</f>
        <v>5671211.04</v>
      </c>
      <c r="C67" s="33">
        <f>BOR!C67+LUMCON!C67+LOSFA!C67+ULSummary!C67+'LSU Summary'!C67+'SU Summary'!C67+'LCTCS Summary'!C67</f>
        <v>5461792</v>
      </c>
      <c r="D67" s="33">
        <f>BOR!D67+LUMCON!D67+LOSFA!D67+ULSummary!D67+'LSU Summary'!D67+'SU Summary'!D67+'LCTCS Summary'!D67</f>
        <v>5017515</v>
      </c>
      <c r="E67" s="33">
        <f t="shared" si="4"/>
        <v>-444277</v>
      </c>
      <c r="F67" s="34">
        <f t="shared" si="5"/>
        <v>-0.0813427168226106</v>
      </c>
    </row>
    <row r="68" spans="1:6" s="24" customFormat="1" ht="26.25">
      <c r="A68" s="39" t="s">
        <v>64</v>
      </c>
      <c r="B68" s="33">
        <f>BOR!B68+LUMCON!B68+LOSFA!B68+ULSummary!B68+'LSU Summary'!B68+'SU Summary'!B68+'LCTCS Summary'!B68</f>
        <v>19987342.400000002</v>
      </c>
      <c r="C68" s="33">
        <f>BOR!C68+LUMCON!C68+LOSFA!C68+ULSummary!C68+'LSU Summary'!C68+'SU Summary'!C68+'LCTCS Summary'!C68</f>
        <v>19189356.7</v>
      </c>
      <c r="D68" s="33">
        <f>BOR!D68+LUMCON!D68+LOSFA!D68+ULSummary!D68+'LSU Summary'!D68+'SU Summary'!D68+'LCTCS Summary'!D68</f>
        <v>13326300.79</v>
      </c>
      <c r="E68" s="33">
        <f t="shared" si="4"/>
        <v>-5863055.91</v>
      </c>
      <c r="F68" s="34">
        <f t="shared" si="5"/>
        <v>-0.30553686617331993</v>
      </c>
    </row>
    <row r="69" spans="1:6" s="24" customFormat="1" ht="26.25">
      <c r="A69" s="39" t="s">
        <v>65</v>
      </c>
      <c r="B69" s="33">
        <f>BOR!B69+LUMCON!B69+LOSFA!B69+ULSummary!B69+'LSU Summary'!B69+'SU Summary'!B69+'LCTCS Summary'!B69</f>
        <v>29510862.61</v>
      </c>
      <c r="C69" s="33">
        <f>BOR!C69+LUMCON!C69+LOSFA!C69+ULSummary!C69+'LSU Summary'!C69+'SU Summary'!C69+'LCTCS Summary'!C69</f>
        <v>26770802</v>
      </c>
      <c r="D69" s="33">
        <f>BOR!D69+LUMCON!D69+LOSFA!D69+ULSummary!D69+'LSU Summary'!D69+'SU Summary'!D69+'LCTCS Summary'!D69</f>
        <v>25696169</v>
      </c>
      <c r="E69" s="33">
        <f t="shared" si="4"/>
        <v>-1074633</v>
      </c>
      <c r="F69" s="34">
        <f t="shared" si="5"/>
        <v>-0.04014198005722802</v>
      </c>
    </row>
    <row r="70" spans="1:6" s="24" customFormat="1" ht="26.25">
      <c r="A70" s="39" t="s">
        <v>66</v>
      </c>
      <c r="B70" s="33">
        <f>BOR!B70+LUMCON!B70+LOSFA!B70+ULSummary!B70+'LSU Summary'!B70+'SU Summary'!B70+'LCTCS Summary'!B70</f>
        <v>42739360.86</v>
      </c>
      <c r="C70" s="33">
        <f>BOR!C70+LUMCON!C70+LOSFA!C70+ULSummary!C70+'LSU Summary'!C70+'SU Summary'!C70+'LCTCS Summary'!C70</f>
        <v>55000605</v>
      </c>
      <c r="D70" s="33">
        <f>BOR!D70+LUMCON!D70+LOSFA!D70+ULSummary!D70+'LSU Summary'!D70+'SU Summary'!D70+'LCTCS Summary'!D70</f>
        <v>52232167</v>
      </c>
      <c r="E70" s="33">
        <f t="shared" si="4"/>
        <v>-2768438</v>
      </c>
      <c r="F70" s="34">
        <f t="shared" si="5"/>
        <v>-0.05033468268212686</v>
      </c>
    </row>
    <row r="71" spans="1:6" s="46" customFormat="1" ht="26.25">
      <c r="A71" s="60" t="s">
        <v>67</v>
      </c>
      <c r="B71" s="52">
        <f>BOR!B71+LUMCON!B71+LOSFA!B71+ULSummary!B71+'LSU Summary'!B71+'SU Summary'!B71+'LCTCS Summary'!B71-3</f>
        <v>2515318051.072364</v>
      </c>
      <c r="C71" s="52">
        <f>BOR!C71+LUMCON!C71+LOSFA!C71+ULSummary!C71+'LSU Summary'!C71+'SU Summary'!C71+'LCTCS Summary'!C71</f>
        <v>2621991239.5223255</v>
      </c>
      <c r="D71" s="52">
        <f>BOR!D71+LUMCON!D71+LOSFA!D71+ULSummary!D71+'LSU Summary'!D71+'SU Summary'!D71+'LCTCS Summary'!D71-1</f>
        <v>2716723794.962613</v>
      </c>
      <c r="E71" s="52">
        <f t="shared" si="4"/>
        <v>94732555.44028759</v>
      </c>
      <c r="F71" s="45">
        <f t="shared" si="5"/>
        <v>0.03613000456002514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BOR!B74+LUMCON!B74+LOSFA!B74+ULSummary!B74+'LSU Summary'!B74+'SU Summary'!B74+'LCTCS Summary'!B74</f>
        <v>1040874832.72</v>
      </c>
      <c r="C74" s="33">
        <f>BOR!C74+LUMCON!C74+LOSFA!C74+ULSummary!C74+'LSU Summary'!C74+'SU Summary'!C74+'LCTCS Summary'!C74</f>
        <v>1083773028.48431</v>
      </c>
      <c r="D74" s="33">
        <f>BOR!D74+LUMCON!D74+LOSFA!D74+ULSummary!D74+'LSU Summary'!D74+'SU Summary'!D74+'LCTCS Summary'!D74</f>
        <v>1107030850.4398406</v>
      </c>
      <c r="E74" s="33">
        <f aca="true" t="shared" si="6" ref="E74:E92">D74-C74</f>
        <v>23257821.955530643</v>
      </c>
      <c r="F74" s="34">
        <f aca="true" t="shared" si="7" ref="F74:F92">IF(ISBLANK(E74),"  ",IF(C74&gt;0,E74/C74,IF(E74&gt;0,1,0)))</f>
        <v>0.02146004868570814</v>
      </c>
    </row>
    <row r="75" spans="1:6" s="24" customFormat="1" ht="26.25">
      <c r="A75" s="39" t="s">
        <v>70</v>
      </c>
      <c r="B75" s="33">
        <f>BOR!B75+LUMCON!B75+LOSFA!B75+ULSummary!B75+'LSU Summary'!B75+'SU Summary'!B75+'LCTCS Summary'!B75</f>
        <v>57133329.09</v>
      </c>
      <c r="C75" s="33">
        <f>BOR!C75+LUMCON!C75+LOSFA!C75+ULSummary!C75+'LSU Summary'!C75+'SU Summary'!C75+'LCTCS Summary'!C75</f>
        <v>50358838.73739674</v>
      </c>
      <c r="D75" s="33">
        <f>BOR!D75+LUMCON!D75+LOSFA!D75+ULSummary!D75+'LSU Summary'!D75+'SU Summary'!D75+'LCTCS Summary'!D75</f>
        <v>51155764.73739674</v>
      </c>
      <c r="E75" s="33">
        <f t="shared" si="6"/>
        <v>796926</v>
      </c>
      <c r="F75" s="34">
        <f t="shared" si="7"/>
        <v>0.01582494791342753</v>
      </c>
    </row>
    <row r="76" spans="1:6" s="24" customFormat="1" ht="26.25">
      <c r="A76" s="39" t="s">
        <v>71</v>
      </c>
      <c r="B76" s="33">
        <f>BOR!B76+LUMCON!B76+LOSFA!B76+ULSummary!B76+'LSU Summary'!B76+'SU Summary'!B76+'LCTCS Summary'!B76</f>
        <v>449201067.75236356</v>
      </c>
      <c r="C76" s="33">
        <f>BOR!C76+LUMCON!C76+LOSFA!C76+ULSummary!C76+'LSU Summary'!C76+'SU Summary'!C76+'LCTCS Summary'!C76</f>
        <v>472486546.83146983</v>
      </c>
      <c r="D76" s="33">
        <f>BOR!D76+LUMCON!D76+LOSFA!D76+ULSummary!D76+'LSU Summary'!D76+'SU Summary'!D76+'LCTCS Summary'!D76</f>
        <v>492299427.09622645</v>
      </c>
      <c r="E76" s="33">
        <f t="shared" si="6"/>
        <v>19812880.26475662</v>
      </c>
      <c r="F76" s="34">
        <f t="shared" si="7"/>
        <v>0.04193321566005059</v>
      </c>
    </row>
    <row r="77" spans="1:6" s="46" customFormat="1" ht="26.25">
      <c r="A77" s="59" t="s">
        <v>72</v>
      </c>
      <c r="B77" s="52">
        <f>BOR!B77+LUMCON!B77+LOSFA!B77+ULSummary!B77+'LSU Summary'!B77+'SU Summary'!B77+'LCTCS Summary'!B77</f>
        <v>1547209228.5623634</v>
      </c>
      <c r="C77" s="52">
        <f>BOR!C77+LUMCON!C77+LOSFA!C77+ULSummary!C77+'LSU Summary'!C77+'SU Summary'!C77+'LCTCS Summary'!C77</f>
        <v>1606618414.0531764</v>
      </c>
      <c r="D77" s="52">
        <f>BOR!D77+LUMCON!D77+LOSFA!D77+ULSummary!D77+'LSU Summary'!D77+'SU Summary'!D77+'LCTCS Summary'!D77</f>
        <v>1650486042.2734637</v>
      </c>
      <c r="E77" s="52">
        <f t="shared" si="6"/>
        <v>43867628.22028732</v>
      </c>
      <c r="F77" s="45">
        <f t="shared" si="7"/>
        <v>0.027304323065498848</v>
      </c>
    </row>
    <row r="78" spans="1:6" s="24" customFormat="1" ht="26.25">
      <c r="A78" s="39" t="s">
        <v>73</v>
      </c>
      <c r="B78" s="33">
        <f>BOR!B78+LUMCON!B78+LOSFA!B78+ULSummary!B78+'LSU Summary'!B78+'SU Summary'!B78+'LCTCS Summary'!B78</f>
        <v>10513258.25</v>
      </c>
      <c r="C78" s="33">
        <f>BOR!C78+LUMCON!C78+LOSFA!C78+ULSummary!C78+'LSU Summary'!C78+'SU Summary'!C78+'LCTCS Summary'!C78</f>
        <v>12581103.06</v>
      </c>
      <c r="D78" s="33">
        <f>BOR!D78+LUMCON!D78+LOSFA!D78+ULSummary!D78+'LSU Summary'!D78+'SU Summary'!D78+'LCTCS Summary'!D78</f>
        <v>12394528.45</v>
      </c>
      <c r="E78" s="33">
        <f t="shared" si="6"/>
        <v>-186574.61000000127</v>
      </c>
      <c r="F78" s="34">
        <f t="shared" si="7"/>
        <v>-0.014829749753278092</v>
      </c>
    </row>
    <row r="79" spans="1:6" s="24" customFormat="1" ht="26.25">
      <c r="A79" s="39" t="s">
        <v>74</v>
      </c>
      <c r="B79" s="33">
        <f>BOR!B79+LUMCON!B79+LOSFA!B79+ULSummary!B79+'LSU Summary'!B79+'SU Summary'!B79+'LCTCS Summary'!B79</f>
        <v>186002264.79999998</v>
      </c>
      <c r="C79" s="33">
        <f>BOR!C79+LUMCON!C79+LOSFA!C79+ULSummary!C79+'LSU Summary'!C79+'SU Summary'!C79+'LCTCS Summary'!C79</f>
        <v>204372548.6568435</v>
      </c>
      <c r="D79" s="33">
        <f>BOR!D79+LUMCON!D79+LOSFA!D79+ULSummary!D79+'LSU Summary'!D79+'SU Summary'!D79+'LCTCS Summary'!D79</f>
        <v>219374583.27684352</v>
      </c>
      <c r="E79" s="33">
        <f t="shared" si="6"/>
        <v>15002034.620000005</v>
      </c>
      <c r="F79" s="34">
        <f t="shared" si="7"/>
        <v>0.07340533118853218</v>
      </c>
    </row>
    <row r="80" spans="1:6" s="24" customFormat="1" ht="26.25">
      <c r="A80" s="39" t="s">
        <v>75</v>
      </c>
      <c r="B80" s="33">
        <f>BOR!B80+LUMCON!B80+LOSFA!B80+ULSummary!B80+'LSU Summary'!B80+'SU Summary'!B80+'LCTCS Summary'!B80</f>
        <v>50586754.79</v>
      </c>
      <c r="C80" s="33">
        <f>BOR!C80+LUMCON!C80+LOSFA!C80+ULSummary!C80+'LSU Summary'!C80+'SU Summary'!C80+'LCTCS Summary'!C80</f>
        <v>47403602.75346098</v>
      </c>
      <c r="D80" s="33">
        <f>BOR!D80+LUMCON!D80+LOSFA!D80+ULSummary!D80+'LSU Summary'!D80+'SU Summary'!D80+'LCTCS Summary'!D80</f>
        <v>47387513.093460985</v>
      </c>
      <c r="E80" s="33">
        <f t="shared" si="6"/>
        <v>-16089.659999996424</v>
      </c>
      <c r="F80" s="34">
        <f t="shared" si="7"/>
        <v>-0.00033941850545994004</v>
      </c>
    </row>
    <row r="81" spans="1:6" s="46" customFormat="1" ht="26.25">
      <c r="A81" s="42" t="s">
        <v>76</v>
      </c>
      <c r="B81" s="52">
        <f>BOR!B81+LUMCON!B81+LOSFA!B81+ULSummary!B81+'LSU Summary'!B81+'SU Summary'!B81+'LCTCS Summary'!B81</f>
        <v>247102278.84</v>
      </c>
      <c r="C81" s="52">
        <f>BOR!C81+LUMCON!C81+LOSFA!C81+ULSummary!C81+'LSU Summary'!C81+'SU Summary'!C81+'LCTCS Summary'!C81</f>
        <v>264357254.4703045</v>
      </c>
      <c r="D81" s="52">
        <f>BOR!D81+LUMCON!D81+LOSFA!D81+ULSummary!D81+'LSU Summary'!D81+'SU Summary'!D81+'LCTCS Summary'!D81</f>
        <v>279156624.8203045</v>
      </c>
      <c r="E81" s="52">
        <f t="shared" si="6"/>
        <v>14799370.350000024</v>
      </c>
      <c r="F81" s="45">
        <f t="shared" si="7"/>
        <v>0.055982463502481455</v>
      </c>
    </row>
    <row r="82" spans="1:6" s="24" customFormat="1" ht="26.25">
      <c r="A82" s="39" t="s">
        <v>77</v>
      </c>
      <c r="B82" s="33">
        <f>BOR!B82+LUMCON!B82+LOSFA!B82+ULSummary!B82+'LSU Summary'!B82+'SU Summary'!B82+'LCTCS Summary'!B82</f>
        <v>39145331.53000001</v>
      </c>
      <c r="C82" s="33">
        <f>BOR!C82+LUMCON!C82+LOSFA!C82+ULSummary!C82+'LSU Summary'!C82+'SU Summary'!C82+'LCTCS Summary'!C82</f>
        <v>27231272.67</v>
      </c>
      <c r="D82" s="33">
        <f>BOR!D82+LUMCON!D82+LOSFA!D82+ULSummary!D82+'LSU Summary'!D82+'SU Summary'!D82+'LCTCS Summary'!D82</f>
        <v>32497975</v>
      </c>
      <c r="E82" s="33">
        <f t="shared" si="6"/>
        <v>5266702.329999998</v>
      </c>
      <c r="F82" s="34">
        <f t="shared" si="7"/>
        <v>0.1934063968961021</v>
      </c>
    </row>
    <row r="83" spans="1:6" s="24" customFormat="1" ht="26.25">
      <c r="A83" s="39" t="s">
        <v>78</v>
      </c>
      <c r="B83" s="33">
        <f>BOR!B83+LUMCON!B83+LOSFA!B83+ULSummary!B83+'LSU Summary'!B83+'SU Summary'!B83+'LCTCS Summary'!B83</f>
        <v>602259166.0899999</v>
      </c>
      <c r="C83" s="33">
        <f>BOR!C83+LUMCON!C83+LOSFA!C83+ULSummary!C83+'LSU Summary'!C83+'SU Summary'!C83+'LCTCS Summary'!C83</f>
        <v>650221694.38</v>
      </c>
      <c r="D83" s="33">
        <f>BOR!D83+LUMCON!D83+LOSFA!D83+ULSummary!D83+'LSU Summary'!D83+'SU Summary'!D83+'LCTCS Summary'!D83</f>
        <v>694197730.05</v>
      </c>
      <c r="E83" s="33">
        <f t="shared" si="6"/>
        <v>43976035.66999996</v>
      </c>
      <c r="F83" s="34">
        <f t="shared" si="7"/>
        <v>0.067632372235645</v>
      </c>
    </row>
    <row r="84" spans="1:6" s="24" customFormat="1" ht="26.25">
      <c r="A84" s="39" t="s">
        <v>79</v>
      </c>
      <c r="B84" s="33">
        <f>BOR!B84+LUMCON!B84+LOSFA!B84+ULSummary!B84+'LSU Summary'!B84+'SU Summary'!B84+'LCTCS Summary'!B84</f>
        <v>380751</v>
      </c>
      <c r="C84" s="33">
        <f>BOR!C84+LUMCON!C84+LOSFA!C84+ULSummary!C84+'LSU Summary'!C84+'SU Summary'!C84+'LCTCS Summary'!C84</f>
        <v>263394</v>
      </c>
      <c r="D84" s="33">
        <f>BOR!D84+LUMCON!D84+LOSFA!D84+ULSummary!D84+'LSU Summary'!D84+'SU Summary'!D84+'LCTCS Summary'!D84</f>
        <v>367514</v>
      </c>
      <c r="E84" s="33">
        <f t="shared" si="6"/>
        <v>104120</v>
      </c>
      <c r="F84" s="34">
        <f t="shared" si="7"/>
        <v>0.3953013356416623</v>
      </c>
    </row>
    <row r="85" spans="1:6" s="24" customFormat="1" ht="26.25">
      <c r="A85" s="39" t="s">
        <v>80</v>
      </c>
      <c r="B85" s="33">
        <f>BOR!B85+LUMCON!B85+LOSFA!B85+ULSummary!B85+'LSU Summary'!B85+'SU Summary'!B85+'LCTCS Summary'!B85</f>
        <v>45624006.559999995</v>
      </c>
      <c r="C85" s="33">
        <f>BOR!C85+LUMCON!C85+LOSFA!C85+ULSummary!C85+'LSU Summary'!C85+'SU Summary'!C85+'LCTCS Summary'!C85</f>
        <v>44556874.7</v>
      </c>
      <c r="D85" s="33">
        <f>BOR!D85+LUMCON!D85+LOSFA!D85+ULSummary!D85+'LSU Summary'!D85+'SU Summary'!D85+'LCTCS Summary'!D85</f>
        <v>41182540.79</v>
      </c>
      <c r="E85" s="33">
        <f t="shared" si="6"/>
        <v>-3374333.910000004</v>
      </c>
      <c r="F85" s="34">
        <f t="shared" si="7"/>
        <v>-0.07573093787926745</v>
      </c>
    </row>
    <row r="86" spans="1:6" s="46" customFormat="1" ht="26.25">
      <c r="A86" s="42" t="s">
        <v>81</v>
      </c>
      <c r="B86" s="52">
        <f>BOR!B86+LUMCON!B86+LOSFA!B86+ULSummary!B86+'LSU Summary'!B86+'SU Summary'!B86+'LCTCS Summary'!B86</f>
        <v>687409255.18</v>
      </c>
      <c r="C86" s="52">
        <f>BOR!C86+LUMCON!C86+LOSFA!C86+ULSummary!C86+'LSU Summary'!C86+'SU Summary'!C86+'LCTCS Summary'!C86</f>
        <v>722273235.75</v>
      </c>
      <c r="D86" s="52">
        <f>BOR!D86+LUMCON!D86+LOSFA!D86+ULSummary!D86+'LSU Summary'!D86+'SU Summary'!D86+'LCTCS Summary'!D86</f>
        <v>768245759.8399999</v>
      </c>
      <c r="E86" s="52">
        <f t="shared" si="6"/>
        <v>45972524.089999914</v>
      </c>
      <c r="F86" s="45">
        <f t="shared" si="7"/>
        <v>0.0636497682795384</v>
      </c>
    </row>
    <row r="87" spans="1:6" s="24" customFormat="1" ht="26.25">
      <c r="A87" s="39" t="s">
        <v>82</v>
      </c>
      <c r="B87" s="33">
        <f>BOR!B87+LUMCON!B87+LOSFA!B87+ULSummary!B87+'LSU Summary'!B87+'SU Summary'!B87+'LCTCS Summary'!B87</f>
        <v>21414228.79</v>
      </c>
      <c r="C87" s="33">
        <f>BOR!C87+LUMCON!C87+LOSFA!C87+ULSummary!C87+'LSU Summary'!C87+'SU Summary'!C87+'LCTCS Summary'!C87</f>
        <v>15678735.22</v>
      </c>
      <c r="D87" s="33">
        <f>BOR!D87+LUMCON!D87+LOSFA!D87+ULSummary!D87+'LSU Summary'!D87+'SU Summary'!D87+'LCTCS Summary'!D87</f>
        <v>11237940.028844543</v>
      </c>
      <c r="E87" s="33">
        <f t="shared" si="6"/>
        <v>-4440795.191155458</v>
      </c>
      <c r="F87" s="34">
        <f t="shared" si="7"/>
        <v>-0.2832368254736977</v>
      </c>
    </row>
    <row r="88" spans="1:6" s="24" customFormat="1" ht="26.25">
      <c r="A88" s="39" t="s">
        <v>83</v>
      </c>
      <c r="B88" s="33">
        <f>BOR!B88+LUMCON!B88+LOSFA!B88+ULSummary!B88+'LSU Summary'!B88+'SU Summary'!B88+'LCTCS Summary'!B88</f>
        <v>7017876.77</v>
      </c>
      <c r="C88" s="33">
        <f>BOR!C88+LUMCON!C88+LOSFA!C88+ULSummary!C88+'LSU Summary'!C88+'SU Summary'!C88+'LCTCS Summary'!C88</f>
        <v>9980463.028844543</v>
      </c>
      <c r="D88" s="33">
        <f>BOR!D88+LUMCON!D88+LOSFA!D88+ULSummary!D88+'LSU Summary'!D88+'SU Summary'!D88+'LCTCS Summary'!D88</f>
        <v>6922931</v>
      </c>
      <c r="E88" s="33">
        <f t="shared" si="6"/>
        <v>-3057532.028844543</v>
      </c>
      <c r="F88" s="34">
        <f t="shared" si="7"/>
        <v>-0.30635172135881544</v>
      </c>
    </row>
    <row r="89" spans="1:6" s="24" customFormat="1" ht="26.25">
      <c r="A89" s="48" t="s">
        <v>84</v>
      </c>
      <c r="B89" s="33">
        <f>BOR!B89+LUMCON!B89+LOSFA!B89+ULSummary!B89+'LSU Summary'!B89+'SU Summary'!B89+'LCTCS Summary'!B89</f>
        <v>5165179.029999999</v>
      </c>
      <c r="C89" s="33">
        <f>BOR!C89+LUMCON!C89+LOSFA!C89+ULSummary!C89+'LSU Summary'!C89+'SU Summary'!C89+'LCTCS Summary'!C89</f>
        <v>3011841</v>
      </c>
      <c r="D89" s="33">
        <f>BOR!D89+LUMCON!D89+LOSFA!D89+ULSummary!D89+'LSU Summary'!D89+'SU Summary'!D89+'LCTCS Summary'!D89</f>
        <v>674496</v>
      </c>
      <c r="E89" s="33">
        <f t="shared" si="6"/>
        <v>-2337345</v>
      </c>
      <c r="F89" s="34">
        <f t="shared" si="7"/>
        <v>-0.7760519230596834</v>
      </c>
    </row>
    <row r="90" spans="1:6" s="46" customFormat="1" ht="26.25">
      <c r="A90" s="62" t="s">
        <v>85</v>
      </c>
      <c r="B90" s="52">
        <f>BOR!B90+LUMCON!B90+LOSFA!B90+ULSummary!B90+'LSU Summary'!B90+'SU Summary'!B90+'LCTCS Summary'!B90</f>
        <v>33597284.59</v>
      </c>
      <c r="C90" s="52">
        <f>BOR!C90+LUMCON!C90+LOSFA!C90+ULSummary!C90+'LSU Summary'!C90+'SU Summary'!C90+'LCTCS Summary'!C90</f>
        <v>28671039.24884454</v>
      </c>
      <c r="D90" s="52">
        <f>BOR!D90+LUMCON!D90+LOSFA!D90+ULSummary!D90+'LSU Summary'!D90+'SU Summary'!D90+'LCTCS Summary'!D90</f>
        <v>18835367.028844543</v>
      </c>
      <c r="E90" s="52">
        <f t="shared" si="6"/>
        <v>-9835672.219999999</v>
      </c>
      <c r="F90" s="45">
        <f t="shared" si="7"/>
        <v>-0.3430525184187867</v>
      </c>
    </row>
    <row r="91" spans="1:6" s="24" customFormat="1" ht="26.25">
      <c r="A91" s="48" t="s">
        <v>86</v>
      </c>
      <c r="B91" s="33">
        <f>BOR!B91+LUMCON!B91+LOSFA!B91+ULSummary!B91+'LSU Summary'!B91+'SU Summary'!B91+'LCTCS Summary'!B91</f>
        <v>0</v>
      </c>
      <c r="C91" s="33">
        <f>BOR!C91+LUMCON!C91+LOSFA!C91+ULSummary!C91+'LSU Summary'!C91+'SU Summary'!C91+'LCTCS Summary'!C91</f>
        <v>0</v>
      </c>
      <c r="D91" s="33">
        <f>BOR!D91+LUMCON!D91+LOSFA!D91+ULSummary!D91+'LSU Summary'!D91+'SU Summary'!D91+'LCTCS Summary'!D91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227">
        <f>BOR!B92+LUMCON!B92+LOSFA!B92+ULSummary!B92+'LSU Summary'!B92+'SU Summary'!B92+'LCTCS Summary'!B92-3</f>
        <v>2515318051.1723633</v>
      </c>
      <c r="C92" s="227">
        <f>BOR!C92+LUMCON!C92+LOSFA!C92+ULSummary!C92+'LSU Summary'!C92+'SU Summary'!C92+'LCTCS Summary'!C92</f>
        <v>2621919939.5223255</v>
      </c>
      <c r="D92" s="227">
        <f>BOR!D92+LUMCON!D92+LOSFA!D92+ULSummary!D92+'LSU Summary'!D92+'SU Summary'!D92+'LCTCS Summary'!D92-1</f>
        <v>2716723794.962613</v>
      </c>
      <c r="E92" s="68">
        <f t="shared" si="6"/>
        <v>94803855.44028759</v>
      </c>
      <c r="F92" s="69">
        <f t="shared" si="7"/>
        <v>0.03615818088540088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Width="0" fitToHeight="1" horizontalDpi="600" verticalDpi="600" orientation="portrait" scale="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D74" sqref="D74:D9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144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182101396</v>
      </c>
      <c r="C8" s="33">
        <v>182101396</v>
      </c>
      <c r="D8" s="33">
        <v>266431249</v>
      </c>
      <c r="E8" s="33">
        <f aca="true" t="shared" si="0" ref="E8:E29">D8-C8</f>
        <v>84329853</v>
      </c>
      <c r="F8" s="34">
        <f aca="true" t="shared" si="1" ref="F8:F29">IF(ISBLANK(E8),"  ",IF(C8&gt;0,E8/C8,IF(E8&gt;0,1,0)))</f>
        <v>0.4630928419681088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52562482</v>
      </c>
      <c r="C10" s="36">
        <v>60321750</v>
      </c>
      <c r="D10" s="36">
        <v>57958234</v>
      </c>
      <c r="E10" s="36">
        <f t="shared" si="0"/>
        <v>-2363516</v>
      </c>
      <c r="F10" s="34">
        <f t="shared" si="1"/>
        <v>-0.03918182081919042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0</v>
      </c>
      <c r="C12" s="38">
        <v>0</v>
      </c>
      <c r="D12" s="38">
        <v>0</v>
      </c>
      <c r="E12" s="36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52112</v>
      </c>
      <c r="C25" s="38">
        <v>60000</v>
      </c>
      <c r="D25" s="38">
        <v>60000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52510370</v>
      </c>
      <c r="C27" s="38">
        <v>60261750</v>
      </c>
      <c r="D27" s="38">
        <v>57898234</v>
      </c>
      <c r="E27" s="36">
        <f t="shared" si="0"/>
        <v>-2363516</v>
      </c>
      <c r="F27" s="34">
        <f t="shared" si="1"/>
        <v>-0.03922083245176252</v>
      </c>
    </row>
    <row r="28" spans="1:6" s="100" customFormat="1" ht="26.25">
      <c r="A28" s="40" t="s">
        <v>87</v>
      </c>
      <c r="B28" s="38"/>
      <c r="C28" s="38"/>
      <c r="D28" s="38"/>
      <c r="E28" s="36">
        <f>D28-C28</f>
        <v>0</v>
      </c>
      <c r="F28" s="34">
        <f t="shared" si="1"/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234663878</v>
      </c>
      <c r="C35" s="44">
        <v>242423146</v>
      </c>
      <c r="D35" s="44">
        <v>324389483</v>
      </c>
      <c r="E35" s="44">
        <f>D35-C35</f>
        <v>81966337</v>
      </c>
      <c r="F35" s="45">
        <f>IF(ISBLANK(E35),"  ",IF(C35&gt;0,E35/C35,IF(E35&gt;0,1,0)))</f>
        <v>0.3381126693240752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249969</v>
      </c>
      <c r="C44" s="52">
        <v>3725935</v>
      </c>
      <c r="D44" s="52">
        <v>670998</v>
      </c>
      <c r="E44" s="52">
        <f>D44-C44</f>
        <v>-3054937</v>
      </c>
      <c r="F44" s="45">
        <f>IF(ISBLANK(E44),"  ",IF(C44&gt;0,E44/C44,IF(E44&gt;0,1,0)))</f>
        <v>-0.8199115121439317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0</v>
      </c>
      <c r="C48" s="50">
        <v>92750</v>
      </c>
      <c r="D48" s="50">
        <v>92750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31677121</v>
      </c>
      <c r="C50" s="54">
        <v>47024032</v>
      </c>
      <c r="D50" s="54">
        <v>47024032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266590968</v>
      </c>
      <c r="C54" s="50">
        <v>293265863</v>
      </c>
      <c r="D54" s="50">
        <v>372177263</v>
      </c>
      <c r="E54" s="50">
        <f>D54-C54</f>
        <v>78911400</v>
      </c>
      <c r="F54" s="45">
        <f>IF(ISBLANK(E54),"  ",IF(C54&gt;0,E54/C54,IF(E54&gt;0,1,0)))</f>
        <v>0.2690780276734766</v>
      </c>
    </row>
    <row r="55" spans="1:6" s="100" customFormat="1" ht="26.25">
      <c r="A55" s="57"/>
      <c r="B55" s="38"/>
      <c r="C55" s="38">
        <v>0</v>
      </c>
      <c r="D55" s="38">
        <v>0</v>
      </c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0</v>
      </c>
      <c r="C61" s="38">
        <v>0</v>
      </c>
      <c r="D61" s="38">
        <v>0</v>
      </c>
      <c r="E61" s="38">
        <f t="shared" si="4"/>
        <v>0</v>
      </c>
      <c r="F61" s="34">
        <f t="shared" si="5"/>
        <v>0</v>
      </c>
    </row>
    <row r="62" spans="1:6" s="100" customFormat="1" ht="26.25">
      <c r="A62" s="39" t="s">
        <v>58</v>
      </c>
      <c r="B62" s="38">
        <v>9082666</v>
      </c>
      <c r="C62" s="38">
        <v>14182872</v>
      </c>
      <c r="D62" s="38">
        <v>14286354</v>
      </c>
      <c r="E62" s="38">
        <f t="shared" si="4"/>
        <v>103482</v>
      </c>
      <c r="F62" s="34">
        <f t="shared" si="5"/>
        <v>0.007296265523654166</v>
      </c>
    </row>
    <row r="63" spans="1:6" s="100" customFormat="1" ht="26.25">
      <c r="A63" s="39" t="s">
        <v>59</v>
      </c>
      <c r="B63" s="38">
        <v>0</v>
      </c>
      <c r="C63" s="38">
        <v>0</v>
      </c>
      <c r="D63" s="38">
        <v>0</v>
      </c>
      <c r="E63" s="38">
        <f t="shared" si="4"/>
        <v>0</v>
      </c>
      <c r="F63" s="34">
        <f t="shared" si="5"/>
        <v>0</v>
      </c>
    </row>
    <row r="64" spans="1:6" s="100" customFormat="1" ht="26.25">
      <c r="A64" s="39" t="s">
        <v>60</v>
      </c>
      <c r="B64" s="38">
        <v>230555674</v>
      </c>
      <c r="C64" s="38">
        <v>241646657</v>
      </c>
      <c r="D64" s="38">
        <v>320454575</v>
      </c>
      <c r="E64" s="38">
        <f t="shared" si="4"/>
        <v>78807918</v>
      </c>
      <c r="F64" s="34">
        <f t="shared" si="5"/>
        <v>0.3261287326644043</v>
      </c>
    </row>
    <row r="65" spans="1:6" s="100" customFormat="1" ht="26.25">
      <c r="A65" s="39" t="s">
        <v>61</v>
      </c>
      <c r="B65" s="38">
        <v>0</v>
      </c>
      <c r="C65" s="38">
        <v>0</v>
      </c>
      <c r="D65" s="38">
        <v>0</v>
      </c>
      <c r="E65" s="38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44">
        <v>239638340</v>
      </c>
      <c r="C66" s="44">
        <v>255829529</v>
      </c>
      <c r="D66" s="44">
        <v>334740929</v>
      </c>
      <c r="E66" s="44">
        <f t="shared" si="4"/>
        <v>78911400</v>
      </c>
      <c r="F66" s="45">
        <f t="shared" si="5"/>
        <v>0.3084530558628359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26952628</v>
      </c>
      <c r="C70" s="38">
        <v>37436334</v>
      </c>
      <c r="D70" s="38">
        <v>37436334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266590968</v>
      </c>
      <c r="C71" s="61">
        <v>293265863</v>
      </c>
      <c r="D71" s="61">
        <v>372177263</v>
      </c>
      <c r="E71" s="61">
        <f t="shared" si="4"/>
        <v>78911400</v>
      </c>
      <c r="F71" s="45">
        <f t="shared" si="5"/>
        <v>0.2690780276734766</v>
      </c>
    </row>
    <row r="72" spans="1:6" s="100" customFormat="1" ht="26.25">
      <c r="A72" s="58"/>
      <c r="B72" s="29">
        <v>0</v>
      </c>
      <c r="C72" s="29">
        <v>0</v>
      </c>
      <c r="D72" s="29">
        <v>0</v>
      </c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4369041</v>
      </c>
      <c r="C74" s="33">
        <v>5041617</v>
      </c>
      <c r="D74" s="33">
        <v>5038408</v>
      </c>
      <c r="E74" s="29">
        <f aca="true" t="shared" si="6" ref="E74:E92">D74-C74</f>
        <v>-3209</v>
      </c>
      <c r="F74" s="34">
        <f aca="true" t="shared" si="7" ref="F74:F92">IF(ISBLANK(E74),"  ",IF(C74&gt;0,E74/C74,IF(E74&gt;0,1,0)))</f>
        <v>-0.0006365021381037076</v>
      </c>
    </row>
    <row r="75" spans="1:6" s="100" customFormat="1" ht="26.25">
      <c r="A75" s="39" t="s">
        <v>70</v>
      </c>
      <c r="B75" s="36">
        <v>109176</v>
      </c>
      <c r="C75" s="36">
        <v>159423</v>
      </c>
      <c r="D75" s="36">
        <v>159423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2305093</v>
      </c>
      <c r="C76" s="29">
        <v>2531960</v>
      </c>
      <c r="D76" s="29">
        <v>2531960</v>
      </c>
      <c r="E76" s="38">
        <f t="shared" si="6"/>
        <v>0</v>
      </c>
      <c r="F76" s="34">
        <f t="shared" si="7"/>
        <v>0</v>
      </c>
    </row>
    <row r="77" spans="1:6" s="102" customFormat="1" ht="26.25">
      <c r="A77" s="59" t="s">
        <v>72</v>
      </c>
      <c r="B77" s="61">
        <v>6783310</v>
      </c>
      <c r="C77" s="61">
        <v>7733000</v>
      </c>
      <c r="D77" s="61">
        <v>7729791</v>
      </c>
      <c r="E77" s="44">
        <f t="shared" si="6"/>
        <v>-3209</v>
      </c>
      <c r="F77" s="45">
        <f t="shared" si="7"/>
        <v>-0.000414974783395836</v>
      </c>
    </row>
    <row r="78" spans="1:6" s="100" customFormat="1" ht="26.25">
      <c r="A78" s="39" t="s">
        <v>73</v>
      </c>
      <c r="B78" s="36">
        <v>199304</v>
      </c>
      <c r="C78" s="36">
        <v>345228</v>
      </c>
      <c r="D78" s="36">
        <v>345228</v>
      </c>
      <c r="E78" s="38">
        <f t="shared" si="6"/>
        <v>0</v>
      </c>
      <c r="F78" s="34">
        <f t="shared" si="7"/>
        <v>0</v>
      </c>
    </row>
    <row r="79" spans="1:6" s="100" customFormat="1" ht="26.25">
      <c r="A79" s="39" t="s">
        <v>74</v>
      </c>
      <c r="B79" s="33">
        <v>434604</v>
      </c>
      <c r="C79" s="33">
        <v>739843</v>
      </c>
      <c r="D79" s="33">
        <v>739843</v>
      </c>
      <c r="E79" s="38">
        <f t="shared" si="6"/>
        <v>0</v>
      </c>
      <c r="F79" s="34">
        <f t="shared" si="7"/>
        <v>0</v>
      </c>
    </row>
    <row r="80" spans="1:6" s="100" customFormat="1" ht="26.25">
      <c r="A80" s="39" t="s">
        <v>75</v>
      </c>
      <c r="B80" s="29">
        <v>66523</v>
      </c>
      <c r="C80" s="29">
        <v>108678</v>
      </c>
      <c r="D80" s="29">
        <v>108678</v>
      </c>
      <c r="E80" s="38">
        <f t="shared" si="6"/>
        <v>0</v>
      </c>
      <c r="F80" s="34">
        <f t="shared" si="7"/>
        <v>0</v>
      </c>
    </row>
    <row r="81" spans="1:6" s="102" customFormat="1" ht="26.25">
      <c r="A81" s="42" t="s">
        <v>76</v>
      </c>
      <c r="B81" s="61">
        <v>700431</v>
      </c>
      <c r="C81" s="61">
        <v>1193749</v>
      </c>
      <c r="D81" s="61">
        <v>1193749</v>
      </c>
      <c r="E81" s="44">
        <f t="shared" si="6"/>
        <v>0</v>
      </c>
      <c r="F81" s="45">
        <f t="shared" si="7"/>
        <v>0</v>
      </c>
    </row>
    <row r="82" spans="1:6" s="100" customFormat="1" ht="26.25">
      <c r="A82" s="39" t="s">
        <v>77</v>
      </c>
      <c r="B82" s="29">
        <v>4585613</v>
      </c>
      <c r="C82" s="29">
        <v>5618509</v>
      </c>
      <c r="D82" s="29">
        <v>5618509</v>
      </c>
      <c r="E82" s="38">
        <f t="shared" si="6"/>
        <v>0</v>
      </c>
      <c r="F82" s="34">
        <f t="shared" si="7"/>
        <v>0</v>
      </c>
    </row>
    <row r="83" spans="1:6" s="100" customFormat="1" ht="26.25">
      <c r="A83" s="39" t="s">
        <v>78</v>
      </c>
      <c r="B83" s="38">
        <v>253551331</v>
      </c>
      <c r="C83" s="38">
        <v>277195101</v>
      </c>
      <c r="D83" s="38">
        <v>356181010</v>
      </c>
      <c r="E83" s="38">
        <f t="shared" si="6"/>
        <v>78985909</v>
      </c>
      <c r="F83" s="34">
        <f t="shared" si="7"/>
        <v>0.2849469875732039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937843</v>
      </c>
      <c r="C85" s="38">
        <v>1403004</v>
      </c>
      <c r="D85" s="38">
        <v>1403004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259074787</v>
      </c>
      <c r="C86" s="44">
        <v>284216614</v>
      </c>
      <c r="D86" s="44">
        <v>363202523</v>
      </c>
      <c r="E86" s="44">
        <f t="shared" si="6"/>
        <v>78985909</v>
      </c>
      <c r="F86" s="45">
        <f t="shared" si="7"/>
        <v>0.2779074308442785</v>
      </c>
    </row>
    <row r="87" spans="1:6" s="100" customFormat="1" ht="26.25">
      <c r="A87" s="39" t="s">
        <v>82</v>
      </c>
      <c r="B87" s="38">
        <v>32440</v>
      </c>
      <c r="C87" s="38">
        <v>51200</v>
      </c>
      <c r="D87" s="38">
        <v>51200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32440</v>
      </c>
      <c r="C90" s="61">
        <v>51200</v>
      </c>
      <c r="D90" s="61">
        <v>51200</v>
      </c>
      <c r="E90" s="61">
        <f t="shared" si="6"/>
        <v>0</v>
      </c>
      <c r="F90" s="45">
        <f t="shared" si="7"/>
        <v>0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266590968</v>
      </c>
      <c r="C92" s="64">
        <v>293194563</v>
      </c>
      <c r="D92" s="64">
        <v>372177263</v>
      </c>
      <c r="E92" s="64">
        <f t="shared" si="6"/>
        <v>78982700</v>
      </c>
      <c r="F92" s="65">
        <f t="shared" si="7"/>
        <v>0.2693866461636944</v>
      </c>
    </row>
    <row r="93" spans="1:8" s="93" customFormat="1" ht="31.5">
      <c r="A93" s="16"/>
      <c r="B93" s="17"/>
      <c r="C93" s="89">
        <v>0</v>
      </c>
      <c r="D93" s="89">
        <v>0</v>
      </c>
      <c r="E93" s="89">
        <v>0</v>
      </c>
      <c r="F93" s="18" t="s">
        <v>46</v>
      </c>
      <c r="G93" s="99"/>
      <c r="H93" s="99"/>
    </row>
  </sheetData>
  <sheetProtection/>
  <printOptions/>
  <pageMargins left="0.7" right="0.7" top="0.75" bottom="0.75" header="0.3" footer="0.3"/>
  <pageSetup fitToHeight="1" fitToWidth="1" horizontalDpi="600" verticalDpi="600" orientation="portrait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4">
      <selection activeCell="B8" sqref="B8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90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ULBoard!B8+Grambling!B8+LATech!B8+McNeese!B8+Nicholls!B8+NwSU!B8+SLU!B8+ULL!B8+ULM!B8+UNO!B8</f>
        <v>209613769.38</v>
      </c>
      <c r="C8" s="33">
        <f>ULBoard!C8+Grambling!C8+LATech!C8+McNeese!C8+Nicholls!C8+NwSU!C8+SLU!C8+ULL!C8+ULM!C8+UNO!C8</f>
        <v>209613769</v>
      </c>
      <c r="D8" s="33">
        <f>ULBoard!D8+Grambling!D8+LATech!D8+McNeese!D8+Nicholls!D8+NwSU!D8+SLU!D8+ULL!D8+ULM!D8+UNO!D8</f>
        <v>214186711</v>
      </c>
      <c r="E8" s="33">
        <f aca="true" t="shared" si="0" ref="E8:E29">D8-C8</f>
        <v>4572942</v>
      </c>
      <c r="F8" s="34">
        <f aca="true" t="shared" si="1" ref="F8:F29">IF(ISBLANK(E8),"  ",IF(C8&gt;0,E8/C8,IF(E8&gt;0,1,0)))</f>
        <v>0.021816038239358217</v>
      </c>
    </row>
    <row r="9" spans="1:6" s="24" customFormat="1" ht="26.25">
      <c r="A9" s="32" t="s">
        <v>13</v>
      </c>
      <c r="B9" s="33">
        <f>ULBoard!B9+Grambling!B9+LATech!B9+McNeese!B9+Nicholls!B9+NwSU!B9+SLU!B9+ULL!B9+ULM!B9+UNO!B9</f>
        <v>0</v>
      </c>
      <c r="C9" s="33">
        <f>ULBoard!C9+Grambling!C9+LATech!C9+McNeese!C9+Nicholls!C9+NwSU!C9+SLU!C9+ULL!C9+ULM!C9+UNO!C9</f>
        <v>0</v>
      </c>
      <c r="D9" s="33">
        <f>ULBoard!D9+Grambling!D9+LATech!D9+McNeese!D9+Nicholls!D9+NwSU!D9+SLU!D9+ULL!D9+ULM!D9+UNO!D9</f>
        <v>0</v>
      </c>
      <c r="E9" s="33">
        <f t="shared" si="0"/>
        <v>0</v>
      </c>
      <c r="F9" s="34">
        <f t="shared" si="1"/>
        <v>0</v>
      </c>
    </row>
    <row r="10" spans="1:6" s="24" customFormat="1" ht="26.25">
      <c r="A10" s="35" t="s">
        <v>14</v>
      </c>
      <c r="B10" s="33">
        <f>ULBoard!B10+Grambling!B10+LATech!B10+McNeese!B10+Nicholls!B10+NwSU!B10+SLU!B10+ULL!B10+ULM!B10+UNO!B10</f>
        <v>16264802.27</v>
      </c>
      <c r="C10" s="33">
        <f>ULBoard!C10+Grambling!C10+LATech!C10+McNeese!C10+Nicholls!C10+NwSU!C10+SLU!C10+ULL!C10+ULM!C10+UNO!C10</f>
        <v>18503609</v>
      </c>
      <c r="D10" s="33">
        <f>ULBoard!D10+Grambling!D10+LATech!D10+McNeese!D10+Nicholls!D10+NwSU!D10+SLU!D10+ULL!D10+ULM!D10+UNO!D10</f>
        <v>17759420</v>
      </c>
      <c r="E10" s="33">
        <f t="shared" si="0"/>
        <v>-744189</v>
      </c>
      <c r="F10" s="34">
        <f t="shared" si="1"/>
        <v>-0.04021858654708927</v>
      </c>
    </row>
    <row r="11" spans="1:6" s="24" customFormat="1" ht="26.25">
      <c r="A11" s="37" t="s">
        <v>15</v>
      </c>
      <c r="B11" s="33">
        <f>ULBoard!B11+Grambling!B11+LATech!B11+McNeese!B11+Nicholls!B11+NwSU!B11+SLU!B11+ULL!B11+ULM!B11+UNO!B11</f>
        <v>0</v>
      </c>
      <c r="C11" s="33">
        <f>ULBoard!C11+Grambling!C11+LATech!C11+McNeese!C11+Nicholls!C11+NwSU!C11+SLU!C11+ULL!C11+ULM!C11+UNO!C11</f>
        <v>0</v>
      </c>
      <c r="D11" s="33">
        <f>ULBoard!D11+Grambling!D11+LATech!D11+McNeese!D11+Nicholls!D11+NwSU!D11+SLU!D11+ULL!D11+ULM!D11+UNO!D11</f>
        <v>0</v>
      </c>
      <c r="E11" s="33">
        <f t="shared" si="0"/>
        <v>0</v>
      </c>
      <c r="F11" s="34">
        <f t="shared" si="1"/>
        <v>0</v>
      </c>
    </row>
    <row r="12" spans="1:6" s="24" customFormat="1" ht="26.25">
      <c r="A12" s="39" t="s">
        <v>16</v>
      </c>
      <c r="B12" s="33">
        <f>ULBoard!B12+Grambling!B12+LATech!B12+McNeese!B12+Nicholls!B12+NwSU!B12+SLU!B12+ULL!B12+ULM!B12+UNO!B12</f>
        <v>14561689.27</v>
      </c>
      <c r="C12" s="33">
        <f>ULBoard!C12+Grambling!C12+LATech!C12+McNeese!C12+Nicholls!C12+NwSU!C12+SLU!C12+ULL!C12+ULM!C12+UNO!C12</f>
        <v>16800496</v>
      </c>
      <c r="D12" s="33">
        <f>ULBoard!D12+Grambling!D12+LATech!D12+McNeese!D12+Nicholls!D12+NwSU!D12+SLU!D12+ULL!D12+ULM!D12+UNO!D12</f>
        <v>16293872</v>
      </c>
      <c r="E12" s="33">
        <f t="shared" si="0"/>
        <v>-506624</v>
      </c>
      <c r="F12" s="34">
        <f t="shared" si="1"/>
        <v>-0.03015530017685192</v>
      </c>
    </row>
    <row r="13" spans="1:6" s="24" customFormat="1" ht="26.25">
      <c r="A13" s="39" t="s">
        <v>17</v>
      </c>
      <c r="B13" s="33">
        <f>ULBoard!B13+Grambling!B13+LATech!B13+McNeese!B13+Nicholls!B13+NwSU!B13+SLU!B13+ULL!B13+ULM!B13+UNO!B13</f>
        <v>0</v>
      </c>
      <c r="C13" s="33">
        <f>ULBoard!C13+Grambling!C13+LATech!C13+McNeese!C13+Nicholls!C13+NwSU!C13+SLU!C13+ULL!C13+ULM!C13+UNO!C13</f>
        <v>0</v>
      </c>
      <c r="D13" s="33">
        <f>ULBoard!D13+Grambling!D13+LATech!D13+McNeese!D13+Nicholls!D13+NwSU!D13+SLU!D13+ULL!D13+ULM!D13+UNO!D13</f>
        <v>0</v>
      </c>
      <c r="E13" s="33">
        <f t="shared" si="0"/>
        <v>0</v>
      </c>
      <c r="F13" s="34">
        <f t="shared" si="1"/>
        <v>0</v>
      </c>
    </row>
    <row r="14" spans="1:6" s="24" customFormat="1" ht="26.25">
      <c r="A14" s="39" t="s">
        <v>18</v>
      </c>
      <c r="B14" s="33">
        <f>ULBoard!B14+Grambling!B14+LATech!B14+McNeese!B14+Nicholls!B14+NwSU!B14+SLU!B14+ULL!B14+ULM!B14+UNO!B14</f>
        <v>397235</v>
      </c>
      <c r="C14" s="33">
        <f>ULBoard!C14+Grambling!C14+LATech!C14+McNeese!C14+Nicholls!C14+NwSU!C14+SLU!C14+ULL!C14+ULM!C14+UNO!C14</f>
        <v>397235</v>
      </c>
      <c r="D14" s="33">
        <f>ULBoard!D14+Grambling!D14+LATech!D14+McNeese!D14+Nicholls!D14+NwSU!D14+SLU!D14+ULL!D14+ULM!D14+UNO!D14</f>
        <v>392432</v>
      </c>
      <c r="E14" s="33">
        <f t="shared" si="0"/>
        <v>-4803</v>
      </c>
      <c r="F14" s="34">
        <f t="shared" si="1"/>
        <v>-0.012091079587649628</v>
      </c>
    </row>
    <row r="15" spans="1:6" s="24" customFormat="1" ht="26.25">
      <c r="A15" s="39" t="s">
        <v>19</v>
      </c>
      <c r="B15" s="33">
        <f>ULBoard!B15+Grambling!B15+LATech!B15+McNeese!B15+Nicholls!B15+NwSU!B15+SLU!B15+ULL!B15+ULM!B15+UNO!B15</f>
        <v>1305878</v>
      </c>
      <c r="C15" s="33">
        <f>ULBoard!C15+Grambling!C15+LATech!C15+McNeese!C15+Nicholls!C15+NwSU!C15+SLU!C15+ULL!C15+ULM!C15+UNO!C15</f>
        <v>1305878</v>
      </c>
      <c r="D15" s="33">
        <f>ULBoard!D15+Grambling!D15+LATech!D15+McNeese!D15+Nicholls!D15+NwSU!D15+SLU!D15+ULL!D15+ULM!D15+UNO!D15</f>
        <v>1073116</v>
      </c>
      <c r="E15" s="33">
        <f t="shared" si="0"/>
        <v>-232762</v>
      </c>
      <c r="F15" s="34">
        <f t="shared" si="1"/>
        <v>-0.17824176531038888</v>
      </c>
    </row>
    <row r="16" spans="1:6" s="24" customFormat="1" ht="26.25">
      <c r="A16" s="39" t="s">
        <v>20</v>
      </c>
      <c r="B16" s="33">
        <f>ULBoard!B16+Grambling!B16+LATech!B16+McNeese!B16+Nicholls!B16+NwSU!B16+SLU!B16+ULL!B16+ULM!B16+UNO!B16</f>
        <v>0</v>
      </c>
      <c r="C16" s="33">
        <f>ULBoard!C16+Grambling!C16+LATech!C16+McNeese!C16+Nicholls!C16+NwSU!C16+SLU!C16+ULL!C16+ULM!C16+UNO!C16</f>
        <v>0</v>
      </c>
      <c r="D16" s="33">
        <f>ULBoard!D16+Grambling!D16+LATech!D16+McNeese!D16+Nicholls!D16+NwSU!D16+SLU!D16+ULL!D16+ULM!D16+UNO!D16</f>
        <v>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ULBoard!B17+Grambling!B17+LATech!B17+McNeese!B17+Nicholls!B17+NwSU!B17+SLU!B17+ULL!B17+ULM!B17+UNO!B17</f>
        <v>0</v>
      </c>
      <c r="C17" s="33">
        <f>ULBoard!C17+Grambling!C17+LATech!C17+McNeese!C17+Nicholls!C17+NwSU!C17+SLU!C17+ULL!C17+ULM!C17+UNO!C17</f>
        <v>0</v>
      </c>
      <c r="D17" s="33">
        <f>ULBoard!D17+Grambling!D17+LATech!D17+McNeese!D17+Nicholls!D17+NwSU!D17+SLU!D17+ULL!D17+ULM!D17+UNO!D17</f>
        <v>0</v>
      </c>
      <c r="E17" s="33">
        <f t="shared" si="0"/>
        <v>0</v>
      </c>
      <c r="F17" s="34">
        <f t="shared" si="1"/>
        <v>0</v>
      </c>
    </row>
    <row r="18" spans="1:6" s="24" customFormat="1" ht="26.25">
      <c r="A18" s="39" t="s">
        <v>22</v>
      </c>
      <c r="B18" s="33">
        <f>ULBoard!B18+Grambling!B18+LATech!B18+McNeese!B18+Nicholls!B18+NwSU!B18+SLU!B18+ULL!B18+ULM!B18+UNO!B18</f>
        <v>0</v>
      </c>
      <c r="C18" s="33">
        <f>ULBoard!C18+Grambling!C18+LATech!C18+McNeese!C18+Nicholls!C18+NwSU!C18+SLU!C18+ULL!C18+ULM!C18+UNO!C18</f>
        <v>0</v>
      </c>
      <c r="D18" s="33">
        <f>ULBoard!D18+Grambling!D18+LATech!D18+McNeese!D18+Nicholls!D18+NwSU!D18+SLU!D18+ULL!D18+ULM!D18+UNO!D18</f>
        <v>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ULBoard!B19+Grambling!B19+LATech!B19+McNeese!B19+Nicholls!B19+NwSU!B19+SLU!B19+ULL!B19+ULM!B19+UNO!B19</f>
        <v>0</v>
      </c>
      <c r="C19" s="33">
        <f>ULBoard!C19+Grambling!C19+LATech!C19+McNeese!C19+Nicholls!C19+NwSU!C19+SLU!C19+ULL!C19+ULM!C19+UNO!C19</f>
        <v>0</v>
      </c>
      <c r="D19" s="33">
        <f>ULBoard!D19+Grambling!D19+LATech!D19+McNeese!D19+Nicholls!D19+NwSU!D19+SLU!D19+ULL!D19+ULM!D19+UNO!D19</f>
        <v>0</v>
      </c>
      <c r="E19" s="33">
        <f t="shared" si="0"/>
        <v>0</v>
      </c>
      <c r="F19" s="34">
        <f t="shared" si="1"/>
        <v>0</v>
      </c>
    </row>
    <row r="20" spans="1:6" s="24" customFormat="1" ht="26.25">
      <c r="A20" s="39" t="s">
        <v>24</v>
      </c>
      <c r="B20" s="33">
        <f>ULBoard!B20+Grambling!B20+LATech!B20+McNeese!B20+Nicholls!B20+NwSU!B20+SLU!B20+ULL!B20+ULM!B20+UNO!B20</f>
        <v>0</v>
      </c>
      <c r="C20" s="33">
        <f>ULBoard!C20+Grambling!C20+LATech!C20+McNeese!C20+Nicholls!C20+NwSU!C20+SLU!C20+ULL!C20+ULM!C20+UNO!C20</f>
        <v>0</v>
      </c>
      <c r="D20" s="33">
        <f>ULBoard!D20+Grambling!D20+LATech!D20+McNeese!D20+Nicholls!D20+NwSU!D20+SLU!D20+ULL!D20+ULM!D20+UNO!D20</f>
        <v>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ULBoard!B21+Grambling!B21+LATech!B21+McNeese!B21+Nicholls!B21+NwSU!B21+SLU!B21+ULL!B21+ULM!B21+UNO!B21</f>
        <v>0</v>
      </c>
      <c r="C21" s="33">
        <f>ULBoard!C21+Grambling!C21+LATech!C21+McNeese!C21+Nicholls!C21+NwSU!C21+SLU!C21+ULL!C21+ULM!C21+UNO!C21</f>
        <v>0</v>
      </c>
      <c r="D21" s="33">
        <f>ULBoard!D21+Grambling!D21+LATech!D21+McNeese!D21+Nicholls!D21+NwSU!D21+SLU!D21+ULL!D21+ULM!D21+UNO!D21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ULBoard!B22+Grambling!B22+LATech!B22+McNeese!B22+Nicholls!B22+NwSU!B22+SLU!B22+ULL!B22+ULM!B22+UNO!B22</f>
        <v>0</v>
      </c>
      <c r="C22" s="33">
        <f>ULBoard!C22+Grambling!C22+LATech!C22+McNeese!C22+Nicholls!C22+NwSU!C22+SLU!C22+ULL!C22+ULM!C22+UNO!C22</f>
        <v>0</v>
      </c>
      <c r="D22" s="33">
        <f>ULBoard!D22+Grambling!D22+LATech!D22+McNeese!D22+Nicholls!D22+NwSU!D22+SLU!D22+ULL!D22+ULM!D22+UNO!D22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ULBoard!B23+Grambling!B23+LATech!B23+McNeese!B23+Nicholls!B23+NwSU!B23+SLU!B23+ULL!B23+ULM!B23+UNO!B23</f>
        <v>0</v>
      </c>
      <c r="C23" s="33">
        <f>ULBoard!C23+Grambling!C23+LATech!C23+McNeese!C23+Nicholls!C23+NwSU!C23+SLU!C23+ULL!C23+ULM!C23+UNO!C23</f>
        <v>0</v>
      </c>
      <c r="D23" s="33">
        <f>ULBoard!D23+Grambling!D23+LATech!D23+McNeese!D23+Nicholls!D23+NwSU!D23+SLU!D23+ULL!D23+ULM!D23+UNO!D23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ULBoard!B24+Grambling!B24+LATech!B24+McNeese!B24+Nicholls!B24+NwSU!B24+SLU!B24+ULL!B24+ULM!B24+UNO!B24</f>
        <v>0</v>
      </c>
      <c r="C24" s="33">
        <f>ULBoard!C24+Grambling!C24+LATech!C24+McNeese!C24+Nicholls!C24+NwSU!C24+SLU!C24+ULL!C24+ULM!C24+UNO!C24</f>
        <v>0</v>
      </c>
      <c r="D24" s="33">
        <f>ULBoard!D24+Grambling!D24+LATech!D24+McNeese!D24+Nicholls!D24+NwSU!D24+SLU!D24+ULL!D24+ULM!D24+UNO!D24</f>
        <v>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ULBoard!B25+Grambling!B25+LATech!B25+McNeese!B25+Nicholls!B25+NwSU!B25+SLU!B25+ULL!B25+ULM!B25+UNO!B25</f>
        <v>0</v>
      </c>
      <c r="C25" s="33">
        <f>ULBoard!C25+Grambling!C25+LATech!C25+McNeese!C25+Nicholls!C25+NwSU!C25+SLU!C25+ULL!C25+ULM!C25+UNO!C25</f>
        <v>0</v>
      </c>
      <c r="D25" s="33">
        <f>ULBoard!D25+Grambling!D25+LATech!D25+McNeese!D25+Nicholls!D25+NwSU!D25+SLU!D25+ULL!D25+ULM!D25+UNO!D25</f>
        <v>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ULBoard!B26+Grambling!B26+LATech!B26+McNeese!B26+Nicholls!B26+NwSU!B26+SLU!B26+ULL!B26+ULM!B26+UNO!B26</f>
        <v>0</v>
      </c>
      <c r="C26" s="33">
        <f>ULBoard!C26+Grambling!C26+LATech!C26+McNeese!C26+Nicholls!C26+NwSU!C26+SLU!C26+ULL!C26+ULM!C26+UNO!C26</f>
        <v>0</v>
      </c>
      <c r="D26" s="33">
        <f>ULBoard!D26+Grambling!D26+LATech!D26+McNeese!D26+Nicholls!D26+NwSU!D26+SLU!D26+ULL!D26+ULM!D26+UNO!D26</f>
        <v>0</v>
      </c>
      <c r="E26" s="33">
        <f t="shared" si="0"/>
        <v>0</v>
      </c>
      <c r="F26" s="34">
        <f t="shared" si="1"/>
        <v>0</v>
      </c>
    </row>
    <row r="27" spans="1:6" s="24" customFormat="1" ht="26.25">
      <c r="A27" s="40" t="s">
        <v>31</v>
      </c>
      <c r="B27" s="33">
        <f>ULBoard!B27+Grambling!B27+LATech!B27+McNeese!B27+Nicholls!B27+NwSU!B27+SLU!B27+ULL!B27+ULM!B27+UNO!B27</f>
        <v>0</v>
      </c>
      <c r="C27" s="33">
        <f>ULBoard!C27+Grambling!C27+LATech!C27+McNeese!C27+Nicholls!C27+NwSU!C27+SLU!C27+ULL!C27+ULM!C27+UNO!C27</f>
        <v>0</v>
      </c>
      <c r="D27" s="33">
        <f>ULBoard!D27+Grambling!D27+LATech!D27+McNeese!D27+Nicholls!D27+NwSU!D27+SLU!D27+ULL!D27+ULM!D27+UNO!D27</f>
        <v>0</v>
      </c>
      <c r="E27" s="33">
        <f t="shared" si="0"/>
        <v>0</v>
      </c>
      <c r="F27" s="34">
        <f t="shared" si="1"/>
        <v>0</v>
      </c>
    </row>
    <row r="28" spans="1:6" s="24" customFormat="1" ht="26.25">
      <c r="A28" s="40" t="s">
        <v>87</v>
      </c>
      <c r="B28" s="33">
        <f>ULBoard!B28+Grambling!B28+LATech!B28+McNeese!B28+Nicholls!B28+NwSU!B28+SLU!B28+ULL!B28+ULM!B28+UNO!B28</f>
        <v>0</v>
      </c>
      <c r="C28" s="33">
        <f>ULBoard!C28+Grambling!C28+LATech!C28+McNeese!C28+Nicholls!C28+NwSU!C28+SLU!C28+ULL!C28+ULM!C28+UNO!C28</f>
        <v>0</v>
      </c>
      <c r="D28" s="33">
        <f>ULBoard!D28+Grambling!D28+LATech!D28+McNeese!D28+Nicholls!D28+NwSU!D28+SLU!D28+ULL!D28+ULM!D28+UNO!D28</f>
        <v>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ULBoard!B29+Grambling!B29+LATech!B29+McNeese!B29+Nicholls!B29+NwSU!B29+SLU!B29+ULL!B29+ULM!B29+UNO!B29</f>
        <v>0</v>
      </c>
      <c r="C29" s="33">
        <f>ULBoard!C29+Grambling!C29+LATech!C29+McNeese!C29+Nicholls!C29+NwSU!C29+SLU!C29+ULL!C29+ULM!C29+UNO!C29</f>
        <v>0</v>
      </c>
      <c r="D29" s="33">
        <f>ULBoard!D29+Grambling!D29+LATech!D29+McNeese!D29+Nicholls!D29+NwSU!D29+SLU!D29+ULL!D29+ULM!D29+UNO!D29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ULBoard!B31+Grambling!B31+LATech!B31+McNeese!B31+Nicholls!B31+NwSU!B31+SLU!B31+ULL!B31+ULM!B31+UNO!B31</f>
        <v>0</v>
      </c>
      <c r="C31" s="33">
        <f>ULBoard!C31+Grambling!C31+LATech!C31+McNeese!C31+Nicholls!C31+NwSU!C31+SLU!C31+ULL!C31+ULM!C31+UNO!C31</f>
        <v>0</v>
      </c>
      <c r="D31" s="33">
        <f>ULBoard!D31+Grambling!D31+LATech!D31+McNeese!D31+Nicholls!D31+NwSU!D31+SLU!D31+ULL!D31+ULM!D31+UNO!D31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ULBoard!B33+Grambling!B33+LATech!B33+McNeese!B33+Nicholls!B33+NwSU!B33+SLU!B33+ULL!B33+ULM!B33+UNO!B33</f>
        <v>0</v>
      </c>
      <c r="C33" s="33">
        <f>ULBoard!C33+Grambling!C33+LATech!C33+McNeese!C33+Nicholls!C33+NwSU!C33+SLU!C33+ULL!C33+ULM!C33+UNO!C33</f>
        <v>0</v>
      </c>
      <c r="D33" s="33">
        <f>ULBoard!D33+Grambling!D33+LATech!D33+McNeese!D33+Nicholls!D33+NwSU!D33+SLU!D33+ULL!D33+ULM!D33+UNO!D33</f>
        <v>0</v>
      </c>
      <c r="E33" s="33">
        <f>D33-C33</f>
        <v>0</v>
      </c>
      <c r="F33" s="34">
        <f>IF(ISBLANK(E33),"  ",IF(C33&gt;0,E33/C33,IF(E33&gt;0,1,0)))</f>
        <v>0</v>
      </c>
    </row>
    <row r="34" spans="1:8" s="24" customFormat="1" ht="26.25">
      <c r="A34" s="39" t="s">
        <v>36</v>
      </c>
      <c r="B34" s="84"/>
      <c r="C34" s="84"/>
      <c r="D34" s="84"/>
      <c r="E34" s="36"/>
      <c r="F34" s="34" t="s">
        <v>37</v>
      </c>
      <c r="H34" s="24" t="s">
        <v>46</v>
      </c>
    </row>
    <row r="35" spans="1:6" s="46" customFormat="1" ht="26.25">
      <c r="A35" s="43" t="s">
        <v>38</v>
      </c>
      <c r="B35" s="67">
        <f>B33+B31+B10+B9+B8</f>
        <v>225878571.65</v>
      </c>
      <c r="C35" s="67">
        <f>C33+C31+C10+C9+C8</f>
        <v>228117378</v>
      </c>
      <c r="D35" s="67">
        <f>D33+D31+D10+D9+D8</f>
        <v>231946131</v>
      </c>
      <c r="E35" s="52">
        <f>D35-C35</f>
        <v>3828753</v>
      </c>
      <c r="F35" s="45">
        <f>IF(ISBLANK(E35),"  ",IF(C35&gt;0,E35/C35,IF(E35&gt;0,1,0)))</f>
        <v>0.016784135577781367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ULBoard!B37+Grambling!B37+LATech!B37+McNeese!B37+Nicholls!B37+NwSU!B37+SLU!B37+ULL!B37+ULM!B37+UNO!B37</f>
        <v>0</v>
      </c>
      <c r="C37" s="33">
        <f>ULBoard!C37+Grambling!C37+LATech!C37+McNeese!C39+Nicholls!C37+NwSU!C37+SLU!C37+ULL!C37+ULM!C37+UNO!C37</f>
        <v>0</v>
      </c>
      <c r="D37" s="33">
        <f>ULBoard!D37+Grambling!D37+LATech!D37+McNeese!D39+Nicholls!D37+NwSU!D37+SLU!D37+ULL!D37+ULM!D37+UNO!D37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ULBoard!B38+Grambling!B38+LATech!B38+McNeese!B38+Nicholls!B38+NwSU!B38+SLU!B38+ULL!B38+ULM!B38+UNO!B38</f>
        <v>0</v>
      </c>
      <c r="C38" s="33">
        <f>ULBoard!C38+Grambling!C38+LATech!C38+McNeese!C40+Nicholls!C38+NwSU!C38+SLU!C38+ULL!C38+ULM!C38+UNO!C38</f>
        <v>0</v>
      </c>
      <c r="D38" s="33">
        <f>ULBoard!D38+Grambling!D38+LATech!D38+McNeese!D40+Nicholls!D38+NwSU!D38+SLU!D38+ULL!D38+ULM!D38+UNO!D38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ULBoard!B39+Grambling!B39+LATech!B39+McNeese!B39+Nicholls!B39+NwSU!B39+SLU!B39+ULL!B39+ULM!B39+UNO!B39</f>
        <v>0</v>
      </c>
      <c r="C39" s="33">
        <f>ULBoard!C39+Grambling!C39+LATech!C39+McNeese!C41+Nicholls!C39+NwSU!C39+SLU!C39+ULL!C39+ULM!C39+UNO!C39</f>
        <v>0</v>
      </c>
      <c r="D39" s="33">
        <f>ULBoard!D39+Grambling!D39+LATech!D39+McNeese!D41+Nicholls!D39+NwSU!D39+SLU!D39+ULL!D39+ULM!D39+UNO!D39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ULBoard!B40+Grambling!B40+LATech!B40+McNeese!B40+Nicholls!B40+NwSU!B40+SLU!B40+ULL!B40+ULM!B40+UNO!B40</f>
        <v>0</v>
      </c>
      <c r="C40" s="33">
        <f>ULBoard!C40+Grambling!C40+LATech!C40+McNeese!C42+Nicholls!C40+NwSU!C40+SLU!C40+ULL!C40+ULM!C40+UNO!C40</f>
        <v>0</v>
      </c>
      <c r="D40" s="33">
        <f>ULBoard!D40+Grambling!D40+LATech!D40+McNeese!D42+Nicholls!D40+NwSU!D40+SLU!D40+ULL!D40+ULM!D40+UNO!D40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ULBoard!B41+Grambling!B41+LATech!B41+McNeese!B41+Nicholls!B41+NwSU!B41+SLU!B41+ULL!B41+ULM!B41+UNO!B41</f>
        <v>0</v>
      </c>
      <c r="C41" s="33">
        <f>ULBoard!C41+Grambling!C41+LATech!C41+McNeese!C43+Nicholls!C41+NwSU!C41+SLU!C41+ULL!C41+ULM!C41+UNO!C41</f>
        <v>0</v>
      </c>
      <c r="D41" s="33">
        <f>ULBoard!D41+Grambling!D41+LATech!D41+McNeese!D43+Nicholls!D41+NwSU!D41+SLU!D41+ULL!D41+ULM!D41+UNO!D41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SUM(B37:B41)</f>
        <v>0</v>
      </c>
      <c r="C42" s="52">
        <f>SUM(C37:C41)</f>
        <v>0</v>
      </c>
      <c r="D42" s="52">
        <f>SUM(D37:D41)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ULBoard!B44+Grambling!B44+LATech!B44+McNeese!B44+Nicholls!B44+NwSU!B44+SLU!B44+ULL!B44+ULM!B44+UNO!B44</f>
        <v>259923</v>
      </c>
      <c r="C44" s="52">
        <f>ULBoard!C44+Grambling!C44+LATech!C44+McNeese!C44+Nicholls!C44+NwSU!C44+SLU!C44+ULL!C44+ULM!C44+UNO!C44</f>
        <v>259923</v>
      </c>
      <c r="D44" s="52">
        <f>ULBoard!D44+Grambling!D44+LATech!D44+McNeese!D44+Nicholls!D44+NwSU!D44+SLU!D44+ULL!D44+ULM!D44+UNO!D44</f>
        <v>74923</v>
      </c>
      <c r="E44" s="52">
        <f>D44-C44</f>
        <v>-185000</v>
      </c>
      <c r="F44" s="45">
        <f>IF(ISBLANK(E44),"  ",IF(C44&gt;0,E44/C44,IF(E44&gt;0,1,0)))</f>
        <v>-0.7117492488159955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ULBoard!B46+Grambling!B46+LATech!B46+McNeese!B46+Nicholls!B46+NwSU!B46+SLU!B46+ULL!B46+ULM!B46+UNO!B46</f>
        <v>0</v>
      </c>
      <c r="C46" s="52">
        <f>ULBoard!C46+Grambling!C46+LATech!C46+McNeese!C46+Nicholls!C46+NwSU!C46+SLU!C46+ULL!C46+ULM!C46+UNO!C46</f>
        <v>0</v>
      </c>
      <c r="D46" s="52">
        <f>ULBoard!D46+Grambling!D46+LATech!D46+McNeese!D46+Nicholls!D46+NwSU!D46+SLU!D46+ULL!D46+ULM!D46+UNO!D46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ULBoard!B48+Grambling!B48+LATech!B48+McNeese!B48+Nicholls!B48+NwSU!B48+SLU!B48+ULL!B48+ULM!B48+UNO!B48</f>
        <v>610494456.18</v>
      </c>
      <c r="C48" s="52">
        <f>ULBoard!C48+Grambling!C48+LATech!C48+McNeese!C48+Nicholls!C48+NwSU!C48+SLU!C48+ULL!C48+ULM!C48+UNO!C48</f>
        <v>621265145</v>
      </c>
      <c r="D48" s="52">
        <f>ULBoard!D48+Grambling!D48+LATech!D48+McNeese!D48+Nicholls!D48+NwSU!D48+SLU!D48+ULL!D48+ULM!D48+UNO!D48</f>
        <v>640283144.53</v>
      </c>
      <c r="E48" s="52">
        <f>D48-C48</f>
        <v>19017999.52999997</v>
      </c>
      <c r="F48" s="45">
        <f>IF(ISBLANK(E48),"  ",IF(C48&gt;0,E48/C48,IF(E48&gt;0,1,0)))</f>
        <v>0.030611727831600745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ULBoard!B50+Grambling!B50+LATech!B50+McNeese!B50+Nicholls!B50+NwSU!B50+SLU!B50+ULL!B50+ULM!B50+UNO!B50</f>
        <v>0</v>
      </c>
      <c r="C50" s="52">
        <f>ULBoard!C50+Grambling!C50+LATech!C50+McNeese!C50+Nicholls!C50+NwSU!C50+SLU!C50+ULL!C50+ULM!C50+UNO!C50</f>
        <v>0</v>
      </c>
      <c r="D50" s="52">
        <f>ULBoard!D50+Grambling!D50+LATech!D50+McNeese!D50+Nicholls!D50+NwSU!D50+SLU!D50+ULL!D50+ULM!D50+UNO!D50</f>
        <v>0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ULBoard!B52+Grambling!B52+LATech!B52+McNeese!B52+Nicholls!B52+NwSU!B52+SLU!B52+ULL!B52+ULM!B52+UNO!B52</f>
        <v>0</v>
      </c>
      <c r="C52" s="52">
        <f>ULBoard!C52+Grambling!C52+LATech!C52+McNeese!C52+Nicholls!C52+NwSU!C52+SLU!C52+ULL!C52+ULM!C52+UNO!C52</f>
        <v>0</v>
      </c>
      <c r="D52" s="52">
        <f>ULBoard!D52+Grambling!D52+LATech!D52+McNeese!D52+Nicholls!D52+NwSU!D52+SLU!D52+ULL!D52+ULM!D52+UNO!D52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B52+B50+B48+B46+B44+-B42+B35</f>
        <v>836632950.8299999</v>
      </c>
      <c r="C54" s="52">
        <f>C52+C50+C48+C46+C44+-C42+C35</f>
        <v>849642446</v>
      </c>
      <c r="D54" s="52">
        <f>D52+D50+D48+D46+D44+-D42+D35</f>
        <v>872304198.53</v>
      </c>
      <c r="E54" s="52">
        <f>D54-C54</f>
        <v>22661752.52999997</v>
      </c>
      <c r="F54" s="45">
        <f>IF(ISBLANK(E54),"  ",IF(C54&gt;0,E54/C54,IF(E54&gt;0,1,0)))</f>
        <v>0.026672104997447328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ULBoard!B58+Grambling!B58+LATech!B58+McNeese!B58+Nicholls!B58+NwSU!B58+SLU!B58+ULL!B58+ULM!B58+UNO!B58</f>
        <v>339961361.01</v>
      </c>
      <c r="C58" s="33">
        <f>ULBoard!C58+Grambling!C58+LATech!C58+McNeese!C58+Nicholls!C58+NwSU!C58+SLU!C58+ULL!C58+ULM!C58+UNO!C58</f>
        <v>350178825</v>
      </c>
      <c r="D58" s="33">
        <f>ULBoard!D58+Grambling!D58+LATech!D58+McNeese!D58+Nicholls!D58+NwSU!D58+SLU!D58+ULL!D58+ULM!D58+UNO!D58</f>
        <v>366134403.56</v>
      </c>
      <c r="E58" s="33">
        <f aca="true" t="shared" si="4" ref="E58:E71">D58-C58</f>
        <v>15955578.560000002</v>
      </c>
      <c r="F58" s="34">
        <f aca="true" t="shared" si="5" ref="F58:F71">IF(ISBLANK(E58),"  ",IF(C58&gt;0,E58/C58,IF(E58&gt;0,1,0)))</f>
        <v>0.045564087320242745</v>
      </c>
    </row>
    <row r="59" spans="1:8" s="24" customFormat="1" ht="26.25">
      <c r="A59" s="39" t="s">
        <v>55</v>
      </c>
      <c r="B59" s="33">
        <f>ULBoard!B59+Grambling!B59+LATech!B59+McNeese!B59+Nicholls!B59+NwSU!B59+SLU!B59+ULL!B59+ULM!B59+UNO!B59</f>
        <v>32402637.85</v>
      </c>
      <c r="C59" s="33">
        <f>ULBoard!C59+Grambling!C59+LATech!C59+McNeese!C59+Nicholls!C59+NwSU!C59+SLU!C59+ULL!C59+ULM!C59+UNO!C59</f>
        <v>35197019</v>
      </c>
      <c r="D59" s="33">
        <f>ULBoard!D59+Grambling!D59+LATech!D59+McNeese!D59+Nicholls!D59+NwSU!D59+SLU!D59+ULL!D59+ULM!D59+UNO!D59</f>
        <v>32041629</v>
      </c>
      <c r="E59" s="33">
        <f t="shared" si="4"/>
        <v>-3155390</v>
      </c>
      <c r="F59" s="34">
        <f t="shared" si="5"/>
        <v>-0.08964935354326456</v>
      </c>
      <c r="H59" s="24" t="s">
        <v>129</v>
      </c>
    </row>
    <row r="60" spans="1:8" s="24" customFormat="1" ht="26.25">
      <c r="A60" s="39" t="s">
        <v>56</v>
      </c>
      <c r="B60" s="33">
        <f>ULBoard!B60+Grambling!B60+LATech!B60+McNeese!B60+Nicholls!B60+NwSU!B60+SLU!B60+ULL!B60+ULM!B60+UNO!B60</f>
        <v>1929209.37</v>
      </c>
      <c r="C60" s="33">
        <f>ULBoard!C60+Grambling!C60+LATech!C60+McNeese!C60+Nicholls!C60+NwSU!C60+SLU!C60+ULL!C60+ULM!C60+UNO!C60</f>
        <v>2051192</v>
      </c>
      <c r="D60" s="33">
        <f>ULBoard!D60+Grambling!D60+LATech!D60+McNeese!D60+Nicholls!D60+NwSU!D60+SLU!D60+ULL!D60+ULM!D60+UNO!D60</f>
        <v>1990792</v>
      </c>
      <c r="E60" s="33">
        <f t="shared" si="4"/>
        <v>-60400</v>
      </c>
      <c r="F60" s="34">
        <f t="shared" si="5"/>
        <v>-0.02944629269224919</v>
      </c>
      <c r="H60" s="24" t="s">
        <v>46</v>
      </c>
    </row>
    <row r="61" spans="1:6" s="24" customFormat="1" ht="26.25">
      <c r="A61" s="39" t="s">
        <v>57</v>
      </c>
      <c r="B61" s="33">
        <f>ULBoard!B61+Grambling!B61+LATech!B61+McNeese!B61+Nicholls!B61+NwSU!B61+SLU!B61+ULL!B61+ULM!B61+UNO!B61</f>
        <v>69734353.3</v>
      </c>
      <c r="C61" s="33">
        <f>ULBoard!C61+Grambling!C61+LATech!C61+McNeese!C61+Nicholls!C61+NwSU!C61+SLU!C61+ULL!C61+ULM!C61+UNO!C61</f>
        <v>73893370</v>
      </c>
      <c r="D61" s="33">
        <f>ULBoard!D61+Grambling!D61+LATech!D61+McNeese!D61+Nicholls!D61+NwSU!D61+SLU!D61+ULL!D61+ULM!D61+UNO!D61</f>
        <v>77574119.32</v>
      </c>
      <c r="E61" s="33">
        <f t="shared" si="4"/>
        <v>3680749.319999993</v>
      </c>
      <c r="F61" s="34">
        <f t="shared" si="5"/>
        <v>0.049811631544210165</v>
      </c>
    </row>
    <row r="62" spans="1:6" s="24" customFormat="1" ht="26.25">
      <c r="A62" s="39" t="s">
        <v>58</v>
      </c>
      <c r="B62" s="33">
        <f>ULBoard!B62+Grambling!B62+LATech!B62+McNeese!B62+Nicholls!B62+NwSU!B62+SLU!B62+ULL!B62+ULM!B62+UNO!B62</f>
        <v>42798351.519999996</v>
      </c>
      <c r="C62" s="33">
        <f>ULBoard!C62+Grambling!C62+LATech!C62+McNeese!C62+Nicholls!C62+NwSU!C62+SLU!C62+ULL!C62+ULM!C62+UNO!C62</f>
        <v>45681741.5</v>
      </c>
      <c r="D62" s="33">
        <f>ULBoard!D62+Grambling!D62+LATech!D62+McNeese!D62+Nicholls!D62+NwSU!D62+SLU!D62+ULL!D62+ULM!D62+UNO!D62</f>
        <v>47031912.34</v>
      </c>
      <c r="E62" s="33">
        <f t="shared" si="4"/>
        <v>1350170.8400000036</v>
      </c>
      <c r="F62" s="34">
        <f t="shared" si="5"/>
        <v>0.029556028200019555</v>
      </c>
    </row>
    <row r="63" spans="1:6" s="24" customFormat="1" ht="26.25">
      <c r="A63" s="39" t="s">
        <v>59</v>
      </c>
      <c r="B63" s="33">
        <f>ULBoard!B63+Grambling!B63+LATech!B63+McNeese!B63+Nicholls!B63+NwSU!B63+SLU!B63+ULL!B63+ULM!B63+UNO!B63</f>
        <v>116701282.75999999</v>
      </c>
      <c r="C63" s="33">
        <f>ULBoard!C63+Grambling!C63+LATech!C63+McNeese!C63+Nicholls!C63+NwSU!C63+SLU!C63+ULL!C63+ULM!C63+UNO!C63</f>
        <v>115933804.32</v>
      </c>
      <c r="D63" s="33">
        <f>ULBoard!D63+Grambling!D63+LATech!D63+McNeese!D63+Nicholls!D63+NwSU!D63+SLU!D63+ULL!D63+ULM!D63+UNO!D63</f>
        <v>121518775.41</v>
      </c>
      <c r="E63" s="33">
        <f t="shared" si="4"/>
        <v>5584971.090000004</v>
      </c>
      <c r="F63" s="34">
        <f t="shared" si="5"/>
        <v>0.04817379299125206</v>
      </c>
    </row>
    <row r="64" spans="1:6" s="24" customFormat="1" ht="26.25">
      <c r="A64" s="39" t="s">
        <v>60</v>
      </c>
      <c r="B64" s="33">
        <f>ULBoard!B64+Grambling!B64+LATech!B64+McNeese!B64+Nicholls!B64+NwSU!B64+SLU!B64+ULL!B64+ULM!B64+UNO!B64</f>
        <v>119529760.10000001</v>
      </c>
      <c r="C64" s="33">
        <f>ULBoard!C64+Grambling!C64+LATech!C64+McNeese!C64+Nicholls!C64+NwSU!C64+SLU!C64+ULL!C64+ULM!C64+UNO!C64</f>
        <v>114905409</v>
      </c>
      <c r="D64" s="33">
        <f>ULBoard!D64+Grambling!D64+LATech!D64+McNeese!D64+Nicholls!D64+NwSU!D64+SLU!D64+ULL!D64+ULM!D64+UNO!D64</f>
        <v>117617071</v>
      </c>
      <c r="E64" s="33">
        <f t="shared" si="4"/>
        <v>2711662</v>
      </c>
      <c r="F64" s="34">
        <f t="shared" si="5"/>
        <v>0.023599080527183885</v>
      </c>
    </row>
    <row r="65" spans="1:6" s="24" customFormat="1" ht="26.25">
      <c r="A65" s="39" t="s">
        <v>61</v>
      </c>
      <c r="B65" s="33">
        <f>ULBoard!B65+Grambling!B65+LATech!B65+McNeese!B65+Nicholls!B65+NwSU!B65+SLU!B65+ULL!B65+ULM!B65+UNO!B65</f>
        <v>84069205.03</v>
      </c>
      <c r="C65" s="33">
        <f>ULBoard!C65+Grambling!C65+LATech!C65+McNeese!C65+Nicholls!C65+NwSU!C65+SLU!C65+ULL!C65+ULM!C65+UNO!C65</f>
        <v>84886123</v>
      </c>
      <c r="D65" s="33">
        <f>ULBoard!D65+Grambling!D65+LATech!D65+McNeese!D65+Nicholls!D65+NwSU!D65+SLU!D65+ULL!D65+ULM!D65+UNO!D65</f>
        <v>82314151</v>
      </c>
      <c r="E65" s="33">
        <f t="shared" si="4"/>
        <v>-2571972</v>
      </c>
      <c r="F65" s="34">
        <f t="shared" si="5"/>
        <v>-0.030299086695242283</v>
      </c>
    </row>
    <row r="66" spans="1:6" s="46" customFormat="1" ht="26.25">
      <c r="A66" s="59" t="s">
        <v>62</v>
      </c>
      <c r="B66" s="52">
        <f>ULBoard!B66+Grambling!B66+LATech!B66+McNeese!B66+Nicholls!B66+NwSU!B66+SLU!B66+ULL!B66+ULM!B66+UNO!B66</f>
        <v>807126160.94</v>
      </c>
      <c r="C66" s="52">
        <f>SUM(C58:C65)</f>
        <v>822727483.8199999</v>
      </c>
      <c r="D66" s="52">
        <f>SUM(D58:D65)</f>
        <v>846222853.63</v>
      </c>
      <c r="E66" s="52">
        <f t="shared" si="4"/>
        <v>23495369.810000062</v>
      </c>
      <c r="F66" s="45">
        <f t="shared" si="5"/>
        <v>0.02855790072905901</v>
      </c>
    </row>
    <row r="67" spans="1:6" s="24" customFormat="1" ht="26.25">
      <c r="A67" s="39" t="s">
        <v>63</v>
      </c>
      <c r="B67" s="33">
        <f>ULBoard!B67+Grambling!B67+LATech!B67+McNeese!B67+Nicholls!B67+NwSU!B67+SLU!B67+ULL!B67+ULM!B67+UNO!B67</f>
        <v>0</v>
      </c>
      <c r="C67" s="33">
        <f>ULBoard!C67+Grambling!C67+LATech!C67+McNeese!C67+Nicholls!C67+NwSU!C67+SLU!C67+ULL!C67+ULM!C67+UNO!C67</f>
        <v>0</v>
      </c>
      <c r="D67" s="33">
        <f>ULBoard!D67+Grambling!D67+LATech!D67+McNeese!D67+Nicholls!D67+NwSU!D67+SLU!D67+ULL!D67+ULM!D67+UNO!D67</f>
        <v>0</v>
      </c>
      <c r="E67" s="33">
        <f t="shared" si="4"/>
        <v>0</v>
      </c>
      <c r="F67" s="34">
        <f t="shared" si="5"/>
        <v>0</v>
      </c>
    </row>
    <row r="68" spans="1:6" s="24" customFormat="1" ht="26.25">
      <c r="A68" s="39" t="s">
        <v>64</v>
      </c>
      <c r="B68" s="33">
        <f>ULBoard!B68+Grambling!B68+LATech!B68+McNeese!B68+Nicholls!B68+NwSU!B68+SLU!B68+ULL!B68+ULM!B68+UNO!B68</f>
        <v>2065634.95</v>
      </c>
      <c r="C68" s="33">
        <f>ULBoard!C68+Grambling!C68+LATech!C68+McNeese!C68+Nicholls!C68+NwSU!C68+SLU!C68+ULL!C68+ULM!C68+UNO!C68</f>
        <v>2151454</v>
      </c>
      <c r="D68" s="33">
        <f>ULBoard!D68+Grambling!D68+LATech!D68+McNeese!D68+Nicholls!D68+NwSU!D68+SLU!D68+ULL!D68+ULM!D68+UNO!D68</f>
        <v>2293063</v>
      </c>
      <c r="E68" s="33">
        <f t="shared" si="4"/>
        <v>141609</v>
      </c>
      <c r="F68" s="34">
        <f t="shared" si="5"/>
        <v>0.06582013838083454</v>
      </c>
    </row>
    <row r="69" spans="1:6" s="24" customFormat="1" ht="26.25">
      <c r="A69" s="39" t="s">
        <v>65</v>
      </c>
      <c r="B69" s="33">
        <f>ULBoard!B69+Grambling!B69+LATech!B69+McNeese!B69+Nicholls!B69+NwSU!B69+SLU!B69+ULL!B69+ULM!B69+UNO!B69</f>
        <v>25173029.52</v>
      </c>
      <c r="C69" s="33">
        <f>ULBoard!C69+Grambling!C69+LATech!C69+McNeese!C69+Nicholls!C69+NwSU!C69+SLU!C69+ULL!C69+ULM!C69+UNO!C69</f>
        <v>22424395</v>
      </c>
      <c r="D69" s="33">
        <f>ULBoard!D69+Grambling!D69+LATech!D69+McNeese!D69+Nicholls!D69+NwSU!D69+SLU!D69+ULL!D69+ULM!D69+UNO!D69</f>
        <v>21694855</v>
      </c>
      <c r="E69" s="33">
        <f t="shared" si="4"/>
        <v>-729540</v>
      </c>
      <c r="F69" s="34">
        <f t="shared" si="5"/>
        <v>-0.03253331918207827</v>
      </c>
    </row>
    <row r="70" spans="1:6" s="24" customFormat="1" ht="26.25">
      <c r="A70" s="39" t="s">
        <v>66</v>
      </c>
      <c r="B70" s="33">
        <f>ULBoard!B70+Grambling!B70+LATech!B70+McNeese!B70+Nicholls!B70+NwSU!B70+SLU!B70+ULL!B70+ULM!B70+UNO!B70</f>
        <v>2268127.75</v>
      </c>
      <c r="C70" s="33">
        <f>ULBoard!C70+Grambling!C70+LATech!C70+McNeese!C70+Nicholls!C70+NwSU!C70+SLU!C70+ULL!C70+ULM!C70+UNO!C70</f>
        <v>2339113</v>
      </c>
      <c r="D70" s="33">
        <f>ULBoard!D70+Grambling!D70+LATech!D70+McNeese!D70+Nicholls!D70+NwSU!D70+SLU!D70+ULL!D70+ULM!D70+UNO!D70</f>
        <v>2093428</v>
      </c>
      <c r="E70" s="33">
        <f t="shared" si="4"/>
        <v>-245685</v>
      </c>
      <c r="F70" s="34">
        <f t="shared" si="5"/>
        <v>-0.10503340368763715</v>
      </c>
    </row>
    <row r="71" spans="1:6" s="46" customFormat="1" ht="26.25">
      <c r="A71" s="60" t="s">
        <v>67</v>
      </c>
      <c r="B71" s="52">
        <f>ULBoard!B71+Grambling!B71+LATech!B71+McNeese!B71+Nicholls!B71+NwSU!B71+SLU!B71+ULL!B71+ULM!B71+UNO!B71</f>
        <v>836632951.16</v>
      </c>
      <c r="C71" s="52">
        <f>SUM(C66:C70)</f>
        <v>849642445.8199999</v>
      </c>
      <c r="D71" s="52">
        <f>SUM(D66:D70)-1</f>
        <v>872304198.63</v>
      </c>
      <c r="E71" s="52">
        <f t="shared" si="4"/>
        <v>22661752.810000062</v>
      </c>
      <c r="F71" s="45">
        <f t="shared" si="5"/>
        <v>0.026672105332648414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ULBoard!B74+Grambling!B74+LATech!B74+McNeese!B74+Nicholls!B74+NwSU!B74+SLU!B74+ULL!B74+ULM!B74+UNO!B74</f>
        <v>393835459.85</v>
      </c>
      <c r="C74" s="33">
        <f>ULBoard!C74+Grambling!C74+LATech!C74+McNeese!C74+Nicholls!C74+NwSU!C74+SLU!C74+ULL!C74+ULM!C74+UNO!C74</f>
        <v>405297176.32</v>
      </c>
      <c r="D74" s="33">
        <f>ULBoard!D74+Grambling!D74+LATech!D74+McNeese!D74+Nicholls!D74+NwSU!D74+SLU!D74+ULL!D74+ULM!D74+UNO!D74</f>
        <v>418780291.63</v>
      </c>
      <c r="E74" s="33">
        <f aca="true" t="shared" si="6" ref="E74:E92">D74-C74</f>
        <v>13483115.310000002</v>
      </c>
      <c r="F74" s="34">
        <f aca="true" t="shared" si="7" ref="F74:F92">IF(ISBLANK(E74),"  ",IF(C74&gt;0,E74/C74,IF(E74&gt;0,1,0)))</f>
        <v>0.03326723228724023</v>
      </c>
    </row>
    <row r="75" spans="1:6" s="24" customFormat="1" ht="26.25">
      <c r="A75" s="39" t="s">
        <v>70</v>
      </c>
      <c r="B75" s="33">
        <f>ULBoard!B75+Grambling!B75+LATech!B75+McNeese!B75+Nicholls!B75+NwSU!B75+SLU!B75+ULL!B75+ULM!B75+UNO!B75</f>
        <v>11163544.74</v>
      </c>
      <c r="C75" s="33">
        <f>ULBoard!C75+Grambling!C75+LATech!C75+McNeese!C75+Nicholls!C75+NwSU!C75+SLU!C75+ULL!C75+ULM!C75+UNO!C75</f>
        <v>11889731</v>
      </c>
      <c r="D75" s="33">
        <f>ULBoard!D75+Grambling!D75+LATech!D75+McNeese!D75+Nicholls!D75+NwSU!D75+SLU!D75+ULL!D75+ULM!D75+UNO!D75</f>
        <v>11715186</v>
      </c>
      <c r="E75" s="33">
        <f t="shared" si="6"/>
        <v>-174545</v>
      </c>
      <c r="F75" s="34">
        <f t="shared" si="7"/>
        <v>-0.014680315307385844</v>
      </c>
    </row>
    <row r="76" spans="1:6" s="24" customFormat="1" ht="26.25">
      <c r="A76" s="39" t="s">
        <v>71</v>
      </c>
      <c r="B76" s="33">
        <f>ULBoard!B76+Grambling!B76+LATech!B76+McNeese!B76+Nicholls!B76+NwSU!B76+SLU!B76+ULL!B76+ULM!B76+UNO!B76</f>
        <v>168475001.6</v>
      </c>
      <c r="C76" s="33">
        <f>ULBoard!C76+Grambling!C76+LATech!C76+McNeese!C76+Nicholls!C76+NwSU!C76+SLU!C76+ULL!C76+ULM!C76+UNO!C76</f>
        <v>173100451</v>
      </c>
      <c r="D76" s="33">
        <f>ULBoard!D76+Grambling!D76+LATech!D76+McNeese!D76+Nicholls!D76+NwSU!D76+SLU!D76+ULL!D76+ULM!D76+UNO!D76</f>
        <v>181926574</v>
      </c>
      <c r="E76" s="33">
        <f t="shared" si="6"/>
        <v>8826123</v>
      </c>
      <c r="F76" s="34">
        <f t="shared" si="7"/>
        <v>0.05098844600930589</v>
      </c>
    </row>
    <row r="77" spans="1:6" s="46" customFormat="1" ht="26.25">
      <c r="A77" s="59" t="s">
        <v>72</v>
      </c>
      <c r="B77" s="52">
        <f>ULBoard!B77+Grambling!B77+LATech!B77+McNeese!B77+Nicholls!B77+NwSU!B77+SLU!B77+ULL!B77+ULM!B77+UNO!B77</f>
        <v>573474005.19</v>
      </c>
      <c r="C77" s="52">
        <f>SUM(C74:C76)</f>
        <v>590287358.3199999</v>
      </c>
      <c r="D77" s="52">
        <f>SUM(D74:D76)</f>
        <v>612422051.63</v>
      </c>
      <c r="E77" s="52">
        <f t="shared" si="6"/>
        <v>22134693.310000062</v>
      </c>
      <c r="F77" s="45">
        <f t="shared" si="7"/>
        <v>0.037498165932262184</v>
      </c>
    </row>
    <row r="78" spans="1:6" s="24" customFormat="1" ht="26.25">
      <c r="A78" s="39" t="s">
        <v>73</v>
      </c>
      <c r="B78" s="33">
        <f>ULBoard!B78+Grambling!B78+LATech!B78+McNeese!B78+Nicholls!B78+NwSU!B78+SLU!B78+ULL!B78+ULM!B78+UNO!B78</f>
        <v>3117212.06</v>
      </c>
      <c r="C78" s="33">
        <f>ULBoard!C78+Grambling!C78+LATech!C78+McNeese!C78+Nicholls!C78+NwSU!C78+SLU!C78+ULL!C78+ULM!C78+UNO!C78</f>
        <v>3295995</v>
      </c>
      <c r="D78" s="33">
        <f>ULBoard!D78+Grambling!D78+LATech!D78+McNeese!D78+Nicholls!D78+NwSU!D78+SLU!D78+ULL!D78+ULM!D78+UNO!D78</f>
        <v>4089359</v>
      </c>
      <c r="E78" s="33">
        <f t="shared" si="6"/>
        <v>793364</v>
      </c>
      <c r="F78" s="34">
        <f t="shared" si="7"/>
        <v>0.2407054622352279</v>
      </c>
    </row>
    <row r="79" spans="1:6" s="24" customFormat="1" ht="26.25">
      <c r="A79" s="39" t="s">
        <v>74</v>
      </c>
      <c r="B79" s="33">
        <f>ULBoard!B79+Grambling!B79+LATech!B79+McNeese!B79+Nicholls!B79+NwSU!B79+SLU!B79+ULL!B79+ULM!B79+UNO!B79</f>
        <v>67540149.16</v>
      </c>
      <c r="C79" s="33">
        <f>ULBoard!C79+Grambling!C79+LATech!C79+McNeese!C79+Nicholls!C79+NwSU!C79+SLU!C79+ULL!C79+ULM!C79+UNO!C79</f>
        <v>69299670.5</v>
      </c>
      <c r="D79" s="33">
        <f>ULBoard!D79+Grambling!D79+LATech!D79+McNeese!D79+Nicholls!D79+NwSU!D79+SLU!D79+ULL!D79+ULM!D79+UNO!D79</f>
        <v>71035865</v>
      </c>
      <c r="E79" s="33">
        <f t="shared" si="6"/>
        <v>1736194.5</v>
      </c>
      <c r="F79" s="34">
        <f t="shared" si="7"/>
        <v>0.025053430809602477</v>
      </c>
    </row>
    <row r="80" spans="1:6" s="24" customFormat="1" ht="26.25">
      <c r="A80" s="39" t="s">
        <v>75</v>
      </c>
      <c r="B80" s="33">
        <f>ULBoard!B80+Grambling!B80+LATech!B80+McNeese!B80+Nicholls!B80+NwSU!B80+SLU!B80+ULL!B80+ULM!B80+UNO!B80</f>
        <v>11605382.36</v>
      </c>
      <c r="C80" s="33">
        <f>ULBoard!C80+Grambling!C80+LATech!C80+McNeese!C80+Nicholls!C80+NwSU!C80+SLU!C80+ULL!C80+ULM!C80+UNO!C80</f>
        <v>12557088</v>
      </c>
      <c r="D80" s="33">
        <f>ULBoard!D80+Grambling!D80+LATech!D80+McNeese!D80+Nicholls!D80+NwSU!D80+SLU!D80+ULL!D80+ULM!D80+UNO!D80</f>
        <v>12670260</v>
      </c>
      <c r="E80" s="33">
        <f t="shared" si="6"/>
        <v>113172</v>
      </c>
      <c r="F80" s="34">
        <f t="shared" si="7"/>
        <v>0.009012599099409034</v>
      </c>
    </row>
    <row r="81" spans="1:6" s="46" customFormat="1" ht="26.25">
      <c r="A81" s="42" t="s">
        <v>76</v>
      </c>
      <c r="B81" s="52">
        <f>ULBoard!B81+Grambling!B81+LATech!B81+McNeese!B81+Nicholls!B81+NwSU!B81+SLU!B81+ULL!B81+ULM!B81+UNO!B81</f>
        <v>82262744.58</v>
      </c>
      <c r="C81" s="52">
        <f>SUM(C78:C80)</f>
        <v>85152753.5</v>
      </c>
      <c r="D81" s="52">
        <f>SUM(D78:D80)</f>
        <v>87795484</v>
      </c>
      <c r="E81" s="52">
        <f t="shared" si="6"/>
        <v>2642730.5</v>
      </c>
      <c r="F81" s="45">
        <f t="shared" si="7"/>
        <v>0.031035173748080853</v>
      </c>
    </row>
    <row r="82" spans="1:6" s="24" customFormat="1" ht="26.25">
      <c r="A82" s="39" t="s">
        <v>77</v>
      </c>
      <c r="B82" s="33">
        <f>ULBoard!B82+Grambling!B82+LATech!B82+McNeese!B82+Nicholls!B82+NwSU!B82+SLU!B82+ULL!B82+ULM!B82+UNO!B82</f>
        <v>6342735.62</v>
      </c>
      <c r="C82" s="33">
        <f>ULBoard!C82+Grambling!C82+LATech!C82+McNeese!C82+Nicholls!C82+NwSU!C82+SLU!C82+ULL!C82+ULM!C82+UNO!C82</f>
        <v>6380508</v>
      </c>
      <c r="D82" s="33">
        <f>ULBoard!D82+Grambling!D82+LATech!D82+McNeese!D82+Nicholls!D82+NwSU!D82+SLU!D82+ULL!D82+ULM!D82+UNO!D82</f>
        <v>6515493</v>
      </c>
      <c r="E82" s="33">
        <f t="shared" si="6"/>
        <v>134985</v>
      </c>
      <c r="F82" s="34">
        <f t="shared" si="7"/>
        <v>0.021155839002160958</v>
      </c>
    </row>
    <row r="83" spans="1:6" s="24" customFormat="1" ht="26.25">
      <c r="A83" s="39" t="s">
        <v>78</v>
      </c>
      <c r="B83" s="33">
        <f>ULBoard!B83+Grambling!B83+LATech!B83+McNeese!B83+Nicholls!B83+NwSU!B83+SLU!B83+ULL!B83+ULM!B83+UNO!B83</f>
        <v>156847324.03</v>
      </c>
      <c r="C83" s="33">
        <f>ULBoard!C83+Grambling!C83+LATech!C83+McNeese!C83+Nicholls!C83+NwSU!C83+SLU!C83+ULL!C83+ULM!C83+UNO!C83</f>
        <v>149585847</v>
      </c>
      <c r="D83" s="33">
        <f>ULBoard!D83+Grambling!D83+LATech!D83+McNeese!D83+Nicholls!D83+NwSU!D83+SLU!D83+ULL!D83+ULM!D83+UNO!D83</f>
        <v>150890398</v>
      </c>
      <c r="E83" s="33">
        <f t="shared" si="6"/>
        <v>1304551</v>
      </c>
      <c r="F83" s="34">
        <f t="shared" si="7"/>
        <v>0.008721085758868619</v>
      </c>
    </row>
    <row r="84" spans="1:6" s="24" customFormat="1" ht="26.25">
      <c r="A84" s="39" t="s">
        <v>79</v>
      </c>
      <c r="B84" s="33">
        <f>ULBoard!B84+Grambling!B84+LATech!B84+McNeese!B84+Nicholls!B84+NwSU!B84+SLU!B84+ULL!B84+ULM!B84+UNO!B84</f>
        <v>0</v>
      </c>
      <c r="C84" s="33">
        <f>ULBoard!C84+Grambling!C84+LATech!C84+McNeese!C84+Nicholls!C84+NwSU!C84+SLU!C84+ULL!C84+ULM!C84+UNO!C84</f>
        <v>0</v>
      </c>
      <c r="D84" s="33">
        <f>ULBoard!D84+Grambling!D84+LATech!D84+McNeese!D84+Nicholls!D84+NwSU!D84+SLU!D84+ULL!D84+ULM!D84+UNO!D84</f>
        <v>0</v>
      </c>
      <c r="E84" s="33">
        <f t="shared" si="6"/>
        <v>0</v>
      </c>
      <c r="F84" s="34">
        <f t="shared" si="7"/>
        <v>0</v>
      </c>
    </row>
    <row r="85" spans="1:6" s="24" customFormat="1" ht="26.25">
      <c r="A85" s="39" t="s">
        <v>80</v>
      </c>
      <c r="B85" s="33">
        <f>ULBoard!B85+Grambling!B85+LATech!B85+McNeese!B85+Nicholls!B85+NwSU!B85+SLU!B85+ULL!B85+ULM!B85+UNO!B85</f>
        <v>5435156.15</v>
      </c>
      <c r="C85" s="33">
        <f>ULBoard!C85+Grambling!C85+LATech!C85+McNeese!C85+Nicholls!C85+NwSU!C85+SLU!C85+ULL!C85+ULM!C85+UNO!C85</f>
        <v>5250501</v>
      </c>
      <c r="D85" s="33">
        <f>ULBoard!D85+Grambling!D85+LATech!D85+McNeese!D85+Nicholls!D85+NwSU!D85+SLU!D85+ULL!D85+ULM!D85+UNO!D85</f>
        <v>5355643</v>
      </c>
      <c r="E85" s="33">
        <f t="shared" si="6"/>
        <v>105142</v>
      </c>
      <c r="F85" s="34">
        <f t="shared" si="7"/>
        <v>0.020025136648864555</v>
      </c>
    </row>
    <row r="86" spans="1:6" s="46" customFormat="1" ht="26.25">
      <c r="A86" s="42" t="s">
        <v>81</v>
      </c>
      <c r="B86" s="52">
        <f>ULBoard!B86+Grambling!B86+LATech!B86+McNeese!B86+Nicholls!B86+NwSU!B86+SLU!B86+ULL!B86+ULM!B86+UNO!B86</f>
        <v>168625215.79999998</v>
      </c>
      <c r="C86" s="52">
        <f>SUM(C82:C85)</f>
        <v>161216856</v>
      </c>
      <c r="D86" s="52">
        <f>SUM(D82:D85)</f>
        <v>162761534</v>
      </c>
      <c r="E86" s="52">
        <f t="shared" si="6"/>
        <v>1544678</v>
      </c>
      <c r="F86" s="45">
        <f t="shared" si="7"/>
        <v>0.009581367844067124</v>
      </c>
    </row>
    <row r="87" spans="1:6" s="24" customFormat="1" ht="26.25">
      <c r="A87" s="39" t="s">
        <v>82</v>
      </c>
      <c r="B87" s="33">
        <f>ULBoard!B87+Grambling!B87+LATech!B87+McNeese!B87+Nicholls!B87+NwSU!B87+SLU!B87+ULL!B87+ULM!B87+UNO!B87</f>
        <v>4524075.36</v>
      </c>
      <c r="C87" s="33">
        <f>ULBoard!C87+Grambling!C87+LATech!C87+McNeese!C87+Nicholls!C87+NwSU!C87+SLU!C87+ULL!C87+ULM!C87+UNO!C87</f>
        <v>4725090</v>
      </c>
      <c r="D87" s="33">
        <f>ULBoard!D87+Grambling!D87+LATech!D87+McNeese!D87+Nicholls!D87+NwSU!D87+SLU!D87+ULL!D87+ULM!D87+UNO!D87</f>
        <v>3781887</v>
      </c>
      <c r="E87" s="33">
        <f t="shared" si="6"/>
        <v>-943203</v>
      </c>
      <c r="F87" s="34">
        <f t="shared" si="7"/>
        <v>-0.1996158803324381</v>
      </c>
    </row>
    <row r="88" spans="1:6" s="24" customFormat="1" ht="26.25">
      <c r="A88" s="39" t="s">
        <v>83</v>
      </c>
      <c r="B88" s="33">
        <f>ULBoard!B88+Grambling!B88+LATech!B88+McNeese!B88+Nicholls!B88+NwSU!B88+SLU!B88+ULL!B88+ULM!B88+UNO!B88</f>
        <v>5492436.93</v>
      </c>
      <c r="C88" s="33">
        <f>ULBoard!C88+Grambling!C88+LATech!C88+McNeese!C88+Nicholls!C88+NwSU!C88+SLU!C88+ULL!C88+ULM!C88+UNO!C88</f>
        <v>5773543</v>
      </c>
      <c r="D88" s="33">
        <f>ULBoard!D88+Grambling!D88+LATech!D88+McNeese!D88+Nicholls!D88+NwSU!D88+SLU!D88+ULL!D88+ULM!D88+UNO!D88</f>
        <v>4908744</v>
      </c>
      <c r="E88" s="33">
        <f t="shared" si="6"/>
        <v>-864799</v>
      </c>
      <c r="F88" s="34">
        <f t="shared" si="7"/>
        <v>-0.14978653488854243</v>
      </c>
    </row>
    <row r="89" spans="1:6" s="24" customFormat="1" ht="26.25">
      <c r="A89" s="48" t="s">
        <v>84</v>
      </c>
      <c r="B89" s="33">
        <f>ULBoard!B89+Grambling!B89+LATech!B89+McNeese!B89+Nicholls!B89+NwSU!B89+SLU!B89+ULL!B89+ULM!B89+UNO!B89</f>
        <v>2254470.3000000003</v>
      </c>
      <c r="C89" s="33">
        <f>ULBoard!C89+Grambling!C89+LATech!C89+McNeese!C89+Nicholls!C89+NwSU!C89+SLU!C89+ULL!C89+ULM!C89+UNO!C89</f>
        <v>2486841</v>
      </c>
      <c r="D89" s="33">
        <f>ULBoard!D89+Grambling!D89+LATech!D89+McNeese!D89+Nicholls!D89+NwSU!D89+SLU!D89+ULL!D89+ULM!D89+UNO!D89</f>
        <v>634496</v>
      </c>
      <c r="E89" s="33">
        <f t="shared" si="6"/>
        <v>-1852345</v>
      </c>
      <c r="F89" s="34">
        <f t="shared" si="7"/>
        <v>-0.7448586379265904</v>
      </c>
    </row>
    <row r="90" spans="1:6" s="46" customFormat="1" ht="26.25">
      <c r="A90" s="62" t="s">
        <v>85</v>
      </c>
      <c r="B90" s="52">
        <f>ULBoard!B90+Grambling!B90+LATech!B90+McNeese!B90+Nicholls!B90+NwSU!B90+SLU!B90+ULL!B90+ULM!B90+UNO!B90</f>
        <v>12270982.589999998</v>
      </c>
      <c r="C90" s="52">
        <f>SUM(C87:C89)</f>
        <v>12985474</v>
      </c>
      <c r="D90" s="52">
        <f>SUM(D87:D89)</f>
        <v>9325127</v>
      </c>
      <c r="E90" s="52">
        <f t="shared" si="6"/>
        <v>-3660347</v>
      </c>
      <c r="F90" s="45">
        <f t="shared" si="7"/>
        <v>-0.2818801223582597</v>
      </c>
    </row>
    <row r="91" spans="1:6" s="24" customFormat="1" ht="26.25">
      <c r="A91" s="48" t="s">
        <v>86</v>
      </c>
      <c r="B91" s="33">
        <f>ULBoard!B91+Grambling!B91+LATech!B91+McNeese!B91+Nicholls!B91+NwSU!B91+SLU!B91+ULL!B91+ULM!B91+UNO!B91</f>
        <v>0</v>
      </c>
      <c r="C91" s="33">
        <f>ULBoard!C91+Grambling!C91+LATech!C91+McNeese!C91+Nicholls!C91+NwSU!C91+SLU!C91+ULL!C91+ULM!C91+UNO!C91</f>
        <v>0</v>
      </c>
      <c r="D91" s="33">
        <f>ULBoard!D91+Grambling!D91+LATech!D91+McNeese!D91+Nicholls!D91+NwSU!D91+SLU!D91+ULL!D91+ULM!D91+UNO!D91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227">
        <f>ULBoard!B92+Grambling!B92+LATech!B92+McNeese!B92+Nicholls!B92+NwSU!B92+SLU!B92+ULL!B92+ULM!B92+UNO!B92</f>
        <v>836632951.16</v>
      </c>
      <c r="C92" s="85">
        <f>C91+C90+C86+C81+C77+4</f>
        <v>849642445.8199999</v>
      </c>
      <c r="D92" s="85">
        <f>D91+D90+D86+D81+D77+2</f>
        <v>872304198.63</v>
      </c>
      <c r="E92" s="68">
        <f t="shared" si="6"/>
        <v>22661752.810000062</v>
      </c>
      <c r="F92" s="69">
        <f t="shared" si="7"/>
        <v>0.026672105332648414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Height="1" fitToWidth="1" horizontalDpi="600" verticalDpi="600" orientation="portrait" scale="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118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1009745</v>
      </c>
      <c r="C8" s="33">
        <v>1009745</v>
      </c>
      <c r="D8" s="33">
        <v>1025487</v>
      </c>
      <c r="E8" s="33">
        <f aca="true" t="shared" si="0" ref="E8:E29">D8-C8</f>
        <v>15742</v>
      </c>
      <c r="F8" s="34">
        <f aca="true" t="shared" si="1" ref="F8:F29">IF(ISBLANK(E8),"  ",IF(C8&gt;0,E8/C8,IF(E8&gt;0,1,0)))</f>
        <v>0.015590074721835712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0</v>
      </c>
      <c r="C10" s="36">
        <v>0</v>
      </c>
      <c r="D10" s="36">
        <v>0</v>
      </c>
      <c r="E10" s="36">
        <f t="shared" si="0"/>
        <v>0</v>
      </c>
      <c r="F10" s="34">
        <f t="shared" si="1"/>
        <v>0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0</v>
      </c>
      <c r="C12" s="38">
        <v>0</v>
      </c>
      <c r="D12" s="38">
        <v>0</v>
      </c>
      <c r="E12" s="36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1009745</v>
      </c>
      <c r="C35" s="44">
        <v>1009745</v>
      </c>
      <c r="D35" s="44">
        <v>1025487</v>
      </c>
      <c r="E35" s="44">
        <f>D35-C35</f>
        <v>15742</v>
      </c>
      <c r="F35" s="45">
        <f>IF(ISBLANK(E35),"  ",IF(C35&gt;0,E35/C35,IF(E35&gt;0,1,0)))</f>
        <v>0.015590074721835712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1882788.6</v>
      </c>
      <c r="C48" s="50">
        <v>2414000</v>
      </c>
      <c r="D48" s="50">
        <v>2414000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2892533.6</v>
      </c>
      <c r="C54" s="50">
        <v>3423745</v>
      </c>
      <c r="D54" s="50">
        <v>3439487</v>
      </c>
      <c r="E54" s="50">
        <f>D54-C54</f>
        <v>15742</v>
      </c>
      <c r="F54" s="45">
        <f>IF(ISBLANK(E54),"  ",IF(C54&gt;0,E54/C54,IF(E54&gt;0,1,0)))</f>
        <v>0.004597889153543853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0</v>
      </c>
      <c r="C61" s="38">
        <v>0</v>
      </c>
      <c r="D61" s="38">
        <v>0</v>
      </c>
      <c r="E61" s="38">
        <f t="shared" si="4"/>
        <v>0</v>
      </c>
      <c r="F61" s="34">
        <f t="shared" si="5"/>
        <v>0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2892533.6</v>
      </c>
      <c r="C63" s="38">
        <v>3423745</v>
      </c>
      <c r="D63" s="38">
        <v>3439487</v>
      </c>
      <c r="E63" s="38">
        <f t="shared" si="4"/>
        <v>15742</v>
      </c>
      <c r="F63" s="34">
        <f t="shared" si="5"/>
        <v>0.004597889153543853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0</v>
      </c>
      <c r="C65" s="38">
        <v>0</v>
      </c>
      <c r="D65" s="38">
        <v>0</v>
      </c>
      <c r="E65" s="38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44">
        <v>2892533.6</v>
      </c>
      <c r="C66" s="44">
        <v>3423745</v>
      </c>
      <c r="D66" s="44">
        <v>3439487</v>
      </c>
      <c r="E66" s="44">
        <f t="shared" si="4"/>
        <v>15742</v>
      </c>
      <c r="F66" s="45">
        <f t="shared" si="5"/>
        <v>0.004597889153543853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2892533.6</v>
      </c>
      <c r="C71" s="61">
        <v>3423745</v>
      </c>
      <c r="D71" s="61">
        <v>3439487</v>
      </c>
      <c r="E71" s="61">
        <f t="shared" si="4"/>
        <v>15742</v>
      </c>
      <c r="F71" s="45">
        <f t="shared" si="5"/>
        <v>0.004597889153543853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1607828.92</v>
      </c>
      <c r="C74" s="33">
        <v>1736297</v>
      </c>
      <c r="D74" s="33">
        <v>1810000</v>
      </c>
      <c r="E74" s="29">
        <f aca="true" t="shared" si="6" ref="E74:E92">D74-C74</f>
        <v>73703</v>
      </c>
      <c r="F74" s="34">
        <f aca="true" t="shared" si="7" ref="F74:F92">IF(ISBLANK(E74),"  ",IF(C74&gt;0,E74/C74,IF(E74&gt;0,1,0)))</f>
        <v>0.04244838296673899</v>
      </c>
    </row>
    <row r="75" spans="1:6" s="100" customFormat="1" ht="26.25">
      <c r="A75" s="39" t="s">
        <v>70</v>
      </c>
      <c r="B75" s="36">
        <v>3815</v>
      </c>
      <c r="C75" s="36">
        <v>3900</v>
      </c>
      <c r="D75" s="36">
        <v>1000</v>
      </c>
      <c r="E75" s="38">
        <f t="shared" si="6"/>
        <v>-2900</v>
      </c>
      <c r="F75" s="34">
        <f t="shared" si="7"/>
        <v>-0.7435897435897436</v>
      </c>
    </row>
    <row r="76" spans="1:6" s="100" customFormat="1" ht="26.25">
      <c r="A76" s="39" t="s">
        <v>71</v>
      </c>
      <c r="B76" s="29">
        <v>564042.97</v>
      </c>
      <c r="C76" s="29">
        <v>677313</v>
      </c>
      <c r="D76" s="29">
        <v>725000</v>
      </c>
      <c r="E76" s="38">
        <f t="shared" si="6"/>
        <v>47687</v>
      </c>
      <c r="F76" s="34">
        <f t="shared" si="7"/>
        <v>0.07040614900348878</v>
      </c>
    </row>
    <row r="77" spans="1:6" s="102" customFormat="1" ht="26.25">
      <c r="A77" s="59" t="s">
        <v>72</v>
      </c>
      <c r="B77" s="61">
        <v>2175686.8899999997</v>
      </c>
      <c r="C77" s="61">
        <v>2417510</v>
      </c>
      <c r="D77" s="61">
        <v>2536000</v>
      </c>
      <c r="E77" s="44">
        <f t="shared" si="6"/>
        <v>118490</v>
      </c>
      <c r="F77" s="45">
        <f t="shared" si="7"/>
        <v>0.04901324089662504</v>
      </c>
    </row>
    <row r="78" spans="1:6" s="100" customFormat="1" ht="26.25">
      <c r="A78" s="39" t="s">
        <v>73</v>
      </c>
      <c r="B78" s="36">
        <v>42566.39</v>
      </c>
      <c r="C78" s="36">
        <v>43000</v>
      </c>
      <c r="D78" s="36">
        <v>45000</v>
      </c>
      <c r="E78" s="38">
        <f t="shared" si="6"/>
        <v>2000</v>
      </c>
      <c r="F78" s="34">
        <f t="shared" si="7"/>
        <v>0.046511627906976744</v>
      </c>
    </row>
    <row r="79" spans="1:6" s="100" customFormat="1" ht="26.25">
      <c r="A79" s="39" t="s">
        <v>74</v>
      </c>
      <c r="B79" s="33">
        <v>110301.24</v>
      </c>
      <c r="C79" s="33">
        <v>168170</v>
      </c>
      <c r="D79" s="33">
        <v>168170</v>
      </c>
      <c r="E79" s="38">
        <f t="shared" si="6"/>
        <v>0</v>
      </c>
      <c r="F79" s="34">
        <f t="shared" si="7"/>
        <v>0</v>
      </c>
    </row>
    <row r="80" spans="1:6" s="100" customFormat="1" ht="26.25">
      <c r="A80" s="39" t="s">
        <v>75</v>
      </c>
      <c r="B80" s="29">
        <v>15940.42</v>
      </c>
      <c r="C80" s="29">
        <v>15941</v>
      </c>
      <c r="D80" s="29">
        <v>15500</v>
      </c>
      <c r="E80" s="38">
        <f t="shared" si="6"/>
        <v>-441</v>
      </c>
      <c r="F80" s="34">
        <f t="shared" si="7"/>
        <v>-0.02766451289128662</v>
      </c>
    </row>
    <row r="81" spans="1:6" s="102" customFormat="1" ht="26.25">
      <c r="A81" s="42" t="s">
        <v>76</v>
      </c>
      <c r="B81" s="61">
        <v>168808.05000000002</v>
      </c>
      <c r="C81" s="61">
        <v>227111</v>
      </c>
      <c r="D81" s="61">
        <v>228670</v>
      </c>
      <c r="E81" s="44">
        <f t="shared" si="6"/>
        <v>1559</v>
      </c>
      <c r="F81" s="45">
        <f t="shared" si="7"/>
        <v>0.0068644847673604535</v>
      </c>
    </row>
    <row r="82" spans="1:6" s="100" customFormat="1" ht="26.25">
      <c r="A82" s="39" t="s">
        <v>77</v>
      </c>
      <c r="B82" s="29">
        <v>83446.94</v>
      </c>
      <c r="C82" s="29">
        <v>301124</v>
      </c>
      <c r="D82" s="29">
        <v>214817</v>
      </c>
      <c r="E82" s="38">
        <f t="shared" si="6"/>
        <v>-86307</v>
      </c>
      <c r="F82" s="34">
        <f t="shared" si="7"/>
        <v>-0.2866161448439845</v>
      </c>
    </row>
    <row r="83" spans="1:6" s="100" customFormat="1" ht="26.25">
      <c r="A83" s="39" t="s">
        <v>78</v>
      </c>
      <c r="B83" s="38">
        <v>0</v>
      </c>
      <c r="C83" s="38">
        <v>0</v>
      </c>
      <c r="D83" s="38">
        <v>0</v>
      </c>
      <c r="E83" s="38">
        <f t="shared" si="6"/>
        <v>0</v>
      </c>
      <c r="F83" s="34">
        <f t="shared" si="7"/>
        <v>0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425005.71</v>
      </c>
      <c r="C85" s="38">
        <v>435000</v>
      </c>
      <c r="D85" s="38">
        <v>435000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508452.65</v>
      </c>
      <c r="C86" s="44">
        <v>736124</v>
      </c>
      <c r="D86" s="44">
        <v>649817</v>
      </c>
      <c r="E86" s="44">
        <f t="shared" si="6"/>
        <v>-86307</v>
      </c>
      <c r="F86" s="45">
        <f t="shared" si="7"/>
        <v>-0.11724519238606539</v>
      </c>
    </row>
    <row r="87" spans="1:6" s="100" customFormat="1" ht="26.25">
      <c r="A87" s="39" t="s">
        <v>82</v>
      </c>
      <c r="B87" s="38">
        <v>39586.01</v>
      </c>
      <c r="C87" s="38">
        <v>43000</v>
      </c>
      <c r="D87" s="38">
        <v>25000</v>
      </c>
      <c r="E87" s="38">
        <f t="shared" si="6"/>
        <v>-18000</v>
      </c>
      <c r="F87" s="34">
        <f t="shared" si="7"/>
        <v>-0.4186046511627907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39586.01</v>
      </c>
      <c r="C90" s="61">
        <v>43000</v>
      </c>
      <c r="D90" s="61">
        <v>25000</v>
      </c>
      <c r="E90" s="61">
        <f t="shared" si="6"/>
        <v>-18000</v>
      </c>
      <c r="F90" s="45">
        <f t="shared" si="7"/>
        <v>-0.4186046511627907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2892533.5999999996</v>
      </c>
      <c r="C92" s="64">
        <v>3423745</v>
      </c>
      <c r="D92" s="64">
        <v>3439487</v>
      </c>
      <c r="E92" s="64">
        <f t="shared" si="6"/>
        <v>15742</v>
      </c>
      <c r="F92" s="65">
        <f t="shared" si="7"/>
        <v>0.004597889153543853</v>
      </c>
    </row>
    <row r="93" spans="1:8" s="93" customFormat="1" ht="31.5">
      <c r="A93" s="16"/>
      <c r="B93" s="17"/>
      <c r="C93" s="8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4">
      <selection activeCell="Q20" sqref="Q20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30.71093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10" t="s">
        <v>1</v>
      </c>
      <c r="E1" s="70" t="s">
        <v>98</v>
      </c>
      <c r="F1" s="96"/>
      <c r="G1" s="66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12867223.38</v>
      </c>
      <c r="C8" s="33">
        <v>12867223</v>
      </c>
      <c r="D8" s="33">
        <v>12397631</v>
      </c>
      <c r="E8" s="33">
        <f aca="true" t="shared" si="0" ref="E8:E29">D8-C8</f>
        <v>-469592</v>
      </c>
      <c r="F8" s="34">
        <f aca="true" t="shared" si="1" ref="F8:F29">IF(ISBLANK(E8),"  ",IF(C8&gt;0,E8/C8,IF(E8&gt;0,1,0)))</f>
        <v>-0.03649520957241512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956517.01</v>
      </c>
      <c r="C10" s="36">
        <v>1103578</v>
      </c>
      <c r="D10" s="36">
        <v>1070300</v>
      </c>
      <c r="E10" s="36">
        <f t="shared" si="0"/>
        <v>-33278</v>
      </c>
      <c r="F10" s="34">
        <f t="shared" si="1"/>
        <v>-0.030154642444847578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956517.01</v>
      </c>
      <c r="C12" s="38">
        <v>1103578</v>
      </c>
      <c r="D12" s="38">
        <v>1070300</v>
      </c>
      <c r="E12" s="36">
        <f t="shared" si="0"/>
        <v>-33278</v>
      </c>
      <c r="F12" s="34">
        <f t="shared" si="1"/>
        <v>-0.030154642444847578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13823740.39</v>
      </c>
      <c r="C35" s="44">
        <v>13970801</v>
      </c>
      <c r="D35" s="44">
        <v>13467931</v>
      </c>
      <c r="E35" s="44">
        <f>D35-C35</f>
        <v>-502870</v>
      </c>
      <c r="F35" s="45">
        <f>IF(ISBLANK(E35),"  ",IF(C35&gt;0,E35/C35,IF(E35&gt;0,1,0)))</f>
        <v>-0.03599435708804384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31762080.529999997</v>
      </c>
      <c r="C48" s="50">
        <v>32970043</v>
      </c>
      <c r="D48" s="50">
        <v>32970043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45585820.92</v>
      </c>
      <c r="C54" s="50">
        <v>46940844</v>
      </c>
      <c r="D54" s="50">
        <v>46437974</v>
      </c>
      <c r="E54" s="50">
        <f>D54-C54</f>
        <v>-502870</v>
      </c>
      <c r="F54" s="45">
        <f>IF(ISBLANK(E54),"  ",IF(C54&gt;0,E54/C54,IF(E54&gt;0,1,0)))</f>
        <v>-0.010712845299500793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19906923.61</v>
      </c>
      <c r="C58" s="29">
        <v>21592615</v>
      </c>
      <c r="D58" s="29">
        <v>21606126</v>
      </c>
      <c r="E58" s="29">
        <f aca="true" t="shared" si="4" ref="E58:E71">D58-C58</f>
        <v>13511</v>
      </c>
      <c r="F58" s="34">
        <f aca="true" t="shared" si="5" ref="F58:F71">IF(ISBLANK(E58),"  ",IF(C58&gt;0,E58/C58,IF(E58&gt;0,1,0)))</f>
        <v>0.0006257231928601515</v>
      </c>
    </row>
    <row r="59" spans="1:6" s="100" customFormat="1" ht="26.25">
      <c r="A59" s="39" t="s">
        <v>55</v>
      </c>
      <c r="B59" s="38">
        <v>34202.04</v>
      </c>
      <c r="C59" s="38">
        <v>3149</v>
      </c>
      <c r="D59" s="38">
        <v>855</v>
      </c>
      <c r="E59" s="38">
        <f t="shared" si="4"/>
        <v>-2294</v>
      </c>
      <c r="F59" s="34">
        <f t="shared" si="5"/>
        <v>-0.7284852334074309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2743301.5</v>
      </c>
      <c r="C61" s="38">
        <v>3019923</v>
      </c>
      <c r="D61" s="38">
        <v>2752465</v>
      </c>
      <c r="E61" s="38">
        <f t="shared" si="4"/>
        <v>-267458</v>
      </c>
      <c r="F61" s="34">
        <f t="shared" si="5"/>
        <v>-0.08856450975736799</v>
      </c>
    </row>
    <row r="62" spans="1:8" s="100" customFormat="1" ht="26.25">
      <c r="A62" s="39" t="s">
        <v>58</v>
      </c>
      <c r="B62" s="38">
        <v>2379166.87</v>
      </c>
      <c r="C62" s="38">
        <v>2474273.5</v>
      </c>
      <c r="D62" s="38">
        <v>2311756</v>
      </c>
      <c r="E62" s="38">
        <f t="shared" si="4"/>
        <v>-162517.5</v>
      </c>
      <c r="F62" s="34">
        <f t="shared" si="5"/>
        <v>-0.06568291662178817</v>
      </c>
      <c r="H62" s="86"/>
    </row>
    <row r="63" spans="1:8" s="100" customFormat="1" ht="26.25">
      <c r="A63" s="39" t="s">
        <v>59</v>
      </c>
      <c r="B63" s="38">
        <v>8785957.98</v>
      </c>
      <c r="C63" s="38">
        <v>8418292</v>
      </c>
      <c r="D63" s="38">
        <v>8523163</v>
      </c>
      <c r="E63" s="38">
        <f t="shared" si="4"/>
        <v>104871</v>
      </c>
      <c r="F63" s="34">
        <f t="shared" si="5"/>
        <v>0.012457515134899098</v>
      </c>
      <c r="H63" s="86"/>
    </row>
    <row r="64" spans="1:6" s="100" customFormat="1" ht="26.25">
      <c r="A64" s="39" t="s">
        <v>60</v>
      </c>
      <c r="B64" s="38">
        <v>2685722.2</v>
      </c>
      <c r="C64" s="38">
        <v>2867160</v>
      </c>
      <c r="D64" s="38">
        <v>2867160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7199346.72</v>
      </c>
      <c r="C65" s="38">
        <v>6714231</v>
      </c>
      <c r="D65" s="38">
        <v>6617809</v>
      </c>
      <c r="E65" s="38">
        <f t="shared" si="4"/>
        <v>-96422</v>
      </c>
      <c r="F65" s="34">
        <f t="shared" si="5"/>
        <v>-0.014360840429827333</v>
      </c>
    </row>
    <row r="66" spans="1:6" s="102" customFormat="1" ht="26.25">
      <c r="A66" s="59" t="s">
        <v>62</v>
      </c>
      <c r="B66" s="44">
        <v>43734620.92</v>
      </c>
      <c r="C66" s="44">
        <v>45089643.5</v>
      </c>
      <c r="D66" s="44">
        <v>44679334</v>
      </c>
      <c r="E66" s="44">
        <f t="shared" si="4"/>
        <v>-410309.5</v>
      </c>
      <c r="F66" s="45">
        <f t="shared" si="5"/>
        <v>-0.009099861257496969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1851200</v>
      </c>
      <c r="C69" s="38">
        <v>1851200</v>
      </c>
      <c r="D69" s="38">
        <v>1758640</v>
      </c>
      <c r="E69" s="38">
        <f t="shared" si="4"/>
        <v>-92560</v>
      </c>
      <c r="F69" s="34">
        <f t="shared" si="5"/>
        <v>-0.05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45585820.92</v>
      </c>
      <c r="C71" s="61">
        <v>46940843.5</v>
      </c>
      <c r="D71" s="61">
        <v>46437974</v>
      </c>
      <c r="E71" s="61">
        <f t="shared" si="4"/>
        <v>-502869.5</v>
      </c>
      <c r="F71" s="45">
        <f t="shared" si="5"/>
        <v>-0.010712834761906228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22263441.330000002</v>
      </c>
      <c r="C74" s="33">
        <v>24940307</v>
      </c>
      <c r="D74" s="33">
        <v>24712771</v>
      </c>
      <c r="E74" s="29">
        <f aca="true" t="shared" si="6" ref="E74:E92">D74-C74</f>
        <v>-227536</v>
      </c>
      <c r="F74" s="34">
        <f aca="true" t="shared" si="7" ref="F74:F92">IF(ISBLANK(E74),"  ",IF(C74&gt;0,E74/C74,IF(E74&gt;0,1,0)))</f>
        <v>-0.009123223703701803</v>
      </c>
    </row>
    <row r="75" spans="1:6" s="100" customFormat="1" ht="26.25">
      <c r="A75" s="39" t="s">
        <v>70</v>
      </c>
      <c r="B75" s="36">
        <v>243116.08000000002</v>
      </c>
      <c r="C75" s="36">
        <v>278923</v>
      </c>
      <c r="D75" s="36">
        <v>278923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10192409.86</v>
      </c>
      <c r="C76" s="29">
        <v>9915365</v>
      </c>
      <c r="D76" s="29">
        <v>9844826</v>
      </c>
      <c r="E76" s="38">
        <f t="shared" si="6"/>
        <v>-70539</v>
      </c>
      <c r="F76" s="34">
        <f t="shared" si="7"/>
        <v>-0.007114110272289522</v>
      </c>
    </row>
    <row r="77" spans="1:6" s="102" customFormat="1" ht="26.25">
      <c r="A77" s="59" t="s">
        <v>72</v>
      </c>
      <c r="B77" s="61">
        <v>32698967.27</v>
      </c>
      <c r="C77" s="61">
        <v>35134595</v>
      </c>
      <c r="D77" s="61">
        <v>34836520</v>
      </c>
      <c r="E77" s="44">
        <f t="shared" si="6"/>
        <v>-298075</v>
      </c>
      <c r="F77" s="45">
        <f t="shared" si="7"/>
        <v>-0.008483803499086869</v>
      </c>
    </row>
    <row r="78" spans="1:6" s="100" customFormat="1" ht="26.25">
      <c r="A78" s="39" t="s">
        <v>73</v>
      </c>
      <c r="B78" s="36">
        <v>409951.57000000007</v>
      </c>
      <c r="C78" s="36">
        <v>231768</v>
      </c>
      <c r="D78" s="36">
        <v>256682</v>
      </c>
      <c r="E78" s="38">
        <f t="shared" si="6"/>
        <v>24914</v>
      </c>
      <c r="F78" s="34">
        <f t="shared" si="7"/>
        <v>0.1074954264609437</v>
      </c>
    </row>
    <row r="79" spans="1:6" s="100" customFormat="1" ht="26.25">
      <c r="A79" s="39" t="s">
        <v>74</v>
      </c>
      <c r="B79" s="33">
        <v>4255165.4399999995</v>
      </c>
      <c r="C79" s="33">
        <v>4385796.5</v>
      </c>
      <c r="D79" s="33">
        <v>4228089</v>
      </c>
      <c r="E79" s="38">
        <f t="shared" si="6"/>
        <v>-157707.5</v>
      </c>
      <c r="F79" s="34">
        <f t="shared" si="7"/>
        <v>-0.0359586907418071</v>
      </c>
    </row>
    <row r="80" spans="1:6" s="100" customFormat="1" ht="26.25">
      <c r="A80" s="39" t="s">
        <v>75</v>
      </c>
      <c r="B80" s="29">
        <v>820221.64</v>
      </c>
      <c r="C80" s="29">
        <v>487930</v>
      </c>
      <c r="D80" s="29">
        <v>497624</v>
      </c>
      <c r="E80" s="38">
        <f t="shared" si="6"/>
        <v>9694</v>
      </c>
      <c r="F80" s="34">
        <f t="shared" si="7"/>
        <v>0.019867603959584368</v>
      </c>
    </row>
    <row r="81" spans="1:6" s="102" customFormat="1" ht="26.25">
      <c r="A81" s="42" t="s">
        <v>76</v>
      </c>
      <c r="B81" s="61">
        <v>5485338.649999999</v>
      </c>
      <c r="C81" s="61">
        <v>5105494.5</v>
      </c>
      <c r="D81" s="61">
        <v>4982395</v>
      </c>
      <c r="E81" s="44">
        <f t="shared" si="6"/>
        <v>-123099.5</v>
      </c>
      <c r="F81" s="45">
        <f t="shared" si="7"/>
        <v>-0.02411118061139817</v>
      </c>
    </row>
    <row r="82" spans="1:6" s="100" customFormat="1" ht="26.25">
      <c r="A82" s="39" t="s">
        <v>77</v>
      </c>
      <c r="B82" s="29">
        <v>2179541.4000000004</v>
      </c>
      <c r="C82" s="29">
        <v>1567682</v>
      </c>
      <c r="D82" s="29">
        <v>1614130</v>
      </c>
      <c r="E82" s="38">
        <f t="shared" si="6"/>
        <v>46448</v>
      </c>
      <c r="F82" s="34">
        <f t="shared" si="7"/>
        <v>0.02962845781223488</v>
      </c>
    </row>
    <row r="83" spans="1:6" s="100" customFormat="1" ht="26.25">
      <c r="A83" s="39" t="s">
        <v>78</v>
      </c>
      <c r="B83" s="38">
        <v>4679369.3100000005</v>
      </c>
      <c r="C83" s="38">
        <v>4887121</v>
      </c>
      <c r="D83" s="38">
        <v>4782101</v>
      </c>
      <c r="E83" s="38">
        <f t="shared" si="6"/>
        <v>-105020</v>
      </c>
      <c r="F83" s="34">
        <f t="shared" si="7"/>
        <v>-0.02148913440039647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7" s="100" customFormat="1" ht="26.25">
      <c r="A85" s="39" t="s">
        <v>80</v>
      </c>
      <c r="B85" s="38">
        <v>0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  <c r="G85" s="86"/>
    </row>
    <row r="86" spans="1:6" s="102" customFormat="1" ht="26.25">
      <c r="A86" s="42" t="s">
        <v>81</v>
      </c>
      <c r="B86" s="44">
        <v>6858910.710000001</v>
      </c>
      <c r="C86" s="44">
        <v>6454803</v>
      </c>
      <c r="D86" s="44">
        <v>6396231</v>
      </c>
      <c r="E86" s="44">
        <f t="shared" si="6"/>
        <v>-58572</v>
      </c>
      <c r="F86" s="45">
        <f t="shared" si="7"/>
        <v>-0.009074173138978835</v>
      </c>
    </row>
    <row r="87" spans="1:6" s="100" customFormat="1" ht="26.25">
      <c r="A87" s="39" t="s">
        <v>82</v>
      </c>
      <c r="B87" s="38">
        <v>142619.16</v>
      </c>
      <c r="C87" s="38">
        <v>245951</v>
      </c>
      <c r="D87" s="38">
        <v>222828</v>
      </c>
      <c r="E87" s="38">
        <f t="shared" si="6"/>
        <v>-23123</v>
      </c>
      <c r="F87" s="34">
        <f t="shared" si="7"/>
        <v>-0.09401466145695687</v>
      </c>
    </row>
    <row r="88" spans="1:6" s="100" customFormat="1" ht="26.25">
      <c r="A88" s="39" t="s">
        <v>83</v>
      </c>
      <c r="B88" s="38">
        <v>399985.13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542604.29</v>
      </c>
      <c r="C90" s="61">
        <v>245951</v>
      </c>
      <c r="D90" s="61">
        <v>222828</v>
      </c>
      <c r="E90" s="61">
        <f t="shared" si="6"/>
        <v>-23123</v>
      </c>
      <c r="F90" s="45">
        <f t="shared" si="7"/>
        <v>-0.09401466145695687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45585820.92</v>
      </c>
      <c r="C92" s="64">
        <v>46940843.5</v>
      </c>
      <c r="D92" s="64">
        <v>46437974</v>
      </c>
      <c r="E92" s="64">
        <f t="shared" si="6"/>
        <v>-502869.5</v>
      </c>
      <c r="F92" s="65">
        <f t="shared" si="7"/>
        <v>-0.010712834761906228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127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26124853</v>
      </c>
      <c r="C8" s="33">
        <v>26124853</v>
      </c>
      <c r="D8" s="33">
        <v>27128500</v>
      </c>
      <c r="E8" s="33">
        <f aca="true" t="shared" si="0" ref="E8:E29">D8-C8</f>
        <v>1003647</v>
      </c>
      <c r="F8" s="34">
        <f aca="true" t="shared" si="1" ref="F8:F29">IF(ISBLANK(E8),"  ",IF(C8&gt;0,E8/C8,IF(E8&gt;0,1,0)))</f>
        <v>0.038417326214237456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1810409</v>
      </c>
      <c r="C10" s="36">
        <v>2088753</v>
      </c>
      <c r="D10" s="36">
        <v>2025766</v>
      </c>
      <c r="E10" s="36">
        <f t="shared" si="0"/>
        <v>-62987</v>
      </c>
      <c r="F10" s="34">
        <f t="shared" si="1"/>
        <v>-0.030155312763165392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1810409</v>
      </c>
      <c r="C12" s="38">
        <v>2088753</v>
      </c>
      <c r="D12" s="38">
        <v>2025766</v>
      </c>
      <c r="E12" s="36">
        <f t="shared" si="0"/>
        <v>-62987</v>
      </c>
      <c r="F12" s="34">
        <f t="shared" si="1"/>
        <v>-0.030155312763165392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27935262</v>
      </c>
      <c r="C35" s="44">
        <v>28213606</v>
      </c>
      <c r="D35" s="44">
        <v>29154266</v>
      </c>
      <c r="E35" s="44">
        <f>D35-C35</f>
        <v>940660</v>
      </c>
      <c r="F35" s="45">
        <f>IF(ISBLANK(E35),"  ",IF(C35&gt;0,E35/C35,IF(E35&gt;0,1,0)))</f>
        <v>0.03334065131553903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98723866</v>
      </c>
      <c r="C48" s="50">
        <v>99587648</v>
      </c>
      <c r="D48" s="50">
        <v>103355648</v>
      </c>
      <c r="E48" s="50">
        <f>D48-C48</f>
        <v>3768000</v>
      </c>
      <c r="F48" s="45">
        <f>IF(ISBLANK(E48),"  ",IF(C48&gt;0,E48/C48,IF(E48&gt;0,1,0)))</f>
        <v>0.03783601757519166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126659128</v>
      </c>
      <c r="C54" s="50">
        <v>127801254</v>
      </c>
      <c r="D54" s="50">
        <v>132509914</v>
      </c>
      <c r="E54" s="50">
        <f>D54-C54</f>
        <v>4708660</v>
      </c>
      <c r="F54" s="45">
        <f>IF(ISBLANK(E54),"  ",IF(C54&gt;0,E54/C54,IF(E54&gt;0,1,0)))</f>
        <v>0.03684361344373037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10" s="100" customFormat="1" ht="26.25">
      <c r="A58" s="37" t="s">
        <v>54</v>
      </c>
      <c r="B58" s="29">
        <v>37726698</v>
      </c>
      <c r="C58" s="29">
        <v>38078796</v>
      </c>
      <c r="D58" s="29">
        <v>40231158</v>
      </c>
      <c r="E58" s="29">
        <f aca="true" t="shared" si="4" ref="E58:E71">D58-C58</f>
        <v>2152362</v>
      </c>
      <c r="F58" s="34">
        <f aca="true" t="shared" si="5" ref="F58:F71">IF(ISBLANK(E58),"  ",IF(C58&gt;0,E58/C58,IF(E58&gt;0,1,0)))</f>
        <v>0.05652389849721089</v>
      </c>
      <c r="J58" s="100" t="s">
        <v>46</v>
      </c>
    </row>
    <row r="59" spans="1:6" s="100" customFormat="1" ht="26.25">
      <c r="A59" s="39" t="s">
        <v>55</v>
      </c>
      <c r="B59" s="38">
        <v>11144428</v>
      </c>
      <c r="C59" s="38">
        <v>11196507</v>
      </c>
      <c r="D59" s="38">
        <v>12199513</v>
      </c>
      <c r="E59" s="38">
        <f t="shared" si="4"/>
        <v>1003006</v>
      </c>
      <c r="F59" s="34">
        <f t="shared" si="5"/>
        <v>0.08958204554331096</v>
      </c>
    </row>
    <row r="60" spans="1:6" s="100" customFormat="1" ht="26.25">
      <c r="A60" s="39" t="s">
        <v>56</v>
      </c>
      <c r="B60" s="38">
        <v>129149</v>
      </c>
      <c r="C60" s="38">
        <v>136113</v>
      </c>
      <c r="D60" s="38">
        <v>128010</v>
      </c>
      <c r="E60" s="38">
        <f t="shared" si="4"/>
        <v>-8103</v>
      </c>
      <c r="F60" s="34">
        <f t="shared" si="5"/>
        <v>-0.059531418747658195</v>
      </c>
    </row>
    <row r="61" spans="1:6" s="100" customFormat="1" ht="26.25">
      <c r="A61" s="39" t="s">
        <v>57</v>
      </c>
      <c r="B61" s="38">
        <v>9533968</v>
      </c>
      <c r="C61" s="38">
        <v>9676521</v>
      </c>
      <c r="D61" s="38">
        <v>10938599</v>
      </c>
      <c r="E61" s="38">
        <f t="shared" si="4"/>
        <v>1262078</v>
      </c>
      <c r="F61" s="34">
        <f t="shared" si="5"/>
        <v>0.13042683418968448</v>
      </c>
    </row>
    <row r="62" spans="1:6" s="100" customFormat="1" ht="26.25">
      <c r="A62" s="39" t="s">
        <v>58</v>
      </c>
      <c r="B62" s="38">
        <v>4371462</v>
      </c>
      <c r="C62" s="38">
        <v>4450320</v>
      </c>
      <c r="D62" s="38">
        <v>4779065</v>
      </c>
      <c r="E62" s="38">
        <f t="shared" si="4"/>
        <v>328745</v>
      </c>
      <c r="F62" s="34">
        <f t="shared" si="5"/>
        <v>0.07386996890111273</v>
      </c>
    </row>
    <row r="63" spans="1:6" s="100" customFormat="1" ht="26.25">
      <c r="A63" s="39" t="s">
        <v>59</v>
      </c>
      <c r="B63" s="38">
        <v>10619172</v>
      </c>
      <c r="C63" s="38">
        <v>10903064</v>
      </c>
      <c r="D63" s="38">
        <v>11459529</v>
      </c>
      <c r="E63" s="38">
        <f t="shared" si="4"/>
        <v>556465</v>
      </c>
      <c r="F63" s="34">
        <f t="shared" si="5"/>
        <v>0.051037488177635204</v>
      </c>
    </row>
    <row r="64" spans="1:6" s="100" customFormat="1" ht="26.25">
      <c r="A64" s="39" t="s">
        <v>60</v>
      </c>
      <c r="B64" s="38">
        <v>40449184</v>
      </c>
      <c r="C64" s="38">
        <v>40490906</v>
      </c>
      <c r="D64" s="38">
        <v>39495850</v>
      </c>
      <c r="E64" s="38">
        <f t="shared" si="4"/>
        <v>-995056</v>
      </c>
      <c r="F64" s="34">
        <f t="shared" si="5"/>
        <v>-0.02457480205555292</v>
      </c>
    </row>
    <row r="65" spans="1:6" s="100" customFormat="1" ht="26.25">
      <c r="A65" s="39" t="s">
        <v>61</v>
      </c>
      <c r="B65" s="38">
        <v>9292427</v>
      </c>
      <c r="C65" s="38">
        <v>9476387</v>
      </c>
      <c r="D65" s="38">
        <v>10135550</v>
      </c>
      <c r="E65" s="38">
        <f t="shared" si="4"/>
        <v>659163</v>
      </c>
      <c r="F65" s="34">
        <f t="shared" si="5"/>
        <v>0.06955847202103502</v>
      </c>
    </row>
    <row r="66" spans="1:6" s="102" customFormat="1" ht="26.25">
      <c r="A66" s="59" t="s">
        <v>62</v>
      </c>
      <c r="B66" s="44">
        <v>123266488</v>
      </c>
      <c r="C66" s="44">
        <v>124408614</v>
      </c>
      <c r="D66" s="44">
        <v>129367274</v>
      </c>
      <c r="E66" s="44">
        <f t="shared" si="4"/>
        <v>4958660</v>
      </c>
      <c r="F66" s="45">
        <f t="shared" si="5"/>
        <v>0.03985785100057461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3392640</v>
      </c>
      <c r="C69" s="38">
        <v>3392640</v>
      </c>
      <c r="D69" s="38">
        <v>3142640</v>
      </c>
      <c r="E69" s="38">
        <f t="shared" si="4"/>
        <v>-250000</v>
      </c>
      <c r="F69" s="34">
        <f t="shared" si="5"/>
        <v>-0.07368892661761932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126659128</v>
      </c>
      <c r="C71" s="61">
        <v>127801254</v>
      </c>
      <c r="D71" s="61">
        <v>132509914</v>
      </c>
      <c r="E71" s="61">
        <f t="shared" si="4"/>
        <v>4708660</v>
      </c>
      <c r="F71" s="45">
        <f t="shared" si="5"/>
        <v>0.03684361344373037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48309465</v>
      </c>
      <c r="C74" s="33">
        <v>48420149</v>
      </c>
      <c r="D74" s="33">
        <v>50684233</v>
      </c>
      <c r="E74" s="29">
        <f aca="true" t="shared" si="6" ref="E74:E92">D74-C74</f>
        <v>2264084</v>
      </c>
      <c r="F74" s="34">
        <f aca="true" t="shared" si="7" ref="F74:F92">IF(ISBLANK(E74),"  ",IF(C74&gt;0,E74/C74,IF(E74&gt;0,1,0)))</f>
        <v>0.04675912913857411</v>
      </c>
    </row>
    <row r="75" spans="1:6" s="100" customFormat="1" ht="26.25">
      <c r="A75" s="39" t="s">
        <v>70</v>
      </c>
      <c r="B75" s="36">
        <v>1583524</v>
      </c>
      <c r="C75" s="36">
        <v>1663033</v>
      </c>
      <c r="D75" s="36">
        <v>1789094</v>
      </c>
      <c r="E75" s="38">
        <f t="shared" si="6"/>
        <v>126061</v>
      </c>
      <c r="F75" s="34">
        <f t="shared" si="7"/>
        <v>0.07580186322219704</v>
      </c>
    </row>
    <row r="76" spans="1:6" s="100" customFormat="1" ht="26.25">
      <c r="A76" s="39" t="s">
        <v>71</v>
      </c>
      <c r="B76" s="29">
        <v>21176734</v>
      </c>
      <c r="C76" s="29">
        <v>21527949</v>
      </c>
      <c r="D76" s="29">
        <v>23544986</v>
      </c>
      <c r="E76" s="38">
        <f t="shared" si="6"/>
        <v>2017037</v>
      </c>
      <c r="F76" s="34">
        <f t="shared" si="7"/>
        <v>0.09369387673670167</v>
      </c>
    </row>
    <row r="77" spans="1:6" s="102" customFormat="1" ht="26.25">
      <c r="A77" s="59" t="s">
        <v>72</v>
      </c>
      <c r="B77" s="61">
        <v>71069723</v>
      </c>
      <c r="C77" s="61">
        <v>71611131</v>
      </c>
      <c r="D77" s="61">
        <v>76018313</v>
      </c>
      <c r="E77" s="44">
        <f t="shared" si="6"/>
        <v>4407182</v>
      </c>
      <c r="F77" s="45">
        <f t="shared" si="7"/>
        <v>0.061543253659825596</v>
      </c>
    </row>
    <row r="78" spans="1:6" s="100" customFormat="1" ht="26.25">
      <c r="A78" s="39" t="s">
        <v>73</v>
      </c>
      <c r="B78" s="36">
        <v>393419</v>
      </c>
      <c r="C78" s="36">
        <v>469550</v>
      </c>
      <c r="D78" s="36">
        <v>483550</v>
      </c>
      <c r="E78" s="38">
        <f t="shared" si="6"/>
        <v>14000</v>
      </c>
      <c r="F78" s="34">
        <f t="shared" si="7"/>
        <v>0.029815781066979023</v>
      </c>
    </row>
    <row r="79" spans="1:6" s="100" customFormat="1" ht="26.25">
      <c r="A79" s="39" t="s">
        <v>74</v>
      </c>
      <c r="B79" s="33">
        <v>6034650</v>
      </c>
      <c r="C79" s="33">
        <v>6255151</v>
      </c>
      <c r="D79" s="33">
        <v>7314337</v>
      </c>
      <c r="E79" s="38">
        <f t="shared" si="6"/>
        <v>1059186</v>
      </c>
      <c r="F79" s="34">
        <f t="shared" si="7"/>
        <v>0.16933020481839686</v>
      </c>
    </row>
    <row r="80" spans="1:6" s="100" customFormat="1" ht="26.25">
      <c r="A80" s="39" t="s">
        <v>75</v>
      </c>
      <c r="B80" s="29">
        <v>1504214</v>
      </c>
      <c r="C80" s="29">
        <v>1655192</v>
      </c>
      <c r="D80" s="29">
        <v>1723147</v>
      </c>
      <c r="E80" s="38">
        <f t="shared" si="6"/>
        <v>67955</v>
      </c>
      <c r="F80" s="34">
        <f t="shared" si="7"/>
        <v>0.041055660008023236</v>
      </c>
    </row>
    <row r="81" spans="1:6" s="102" customFormat="1" ht="26.25">
      <c r="A81" s="42" t="s">
        <v>76</v>
      </c>
      <c r="B81" s="61">
        <v>7932283</v>
      </c>
      <c r="C81" s="61">
        <v>8379893</v>
      </c>
      <c r="D81" s="61">
        <v>9521034</v>
      </c>
      <c r="E81" s="44">
        <f t="shared" si="6"/>
        <v>1141141</v>
      </c>
      <c r="F81" s="45">
        <f t="shared" si="7"/>
        <v>0.1361760824392388</v>
      </c>
    </row>
    <row r="82" spans="1:6" s="100" customFormat="1" ht="26.25">
      <c r="A82" s="39" t="s">
        <v>77</v>
      </c>
      <c r="B82" s="29">
        <v>171065</v>
      </c>
      <c r="C82" s="29">
        <v>183450</v>
      </c>
      <c r="D82" s="29">
        <v>189900</v>
      </c>
      <c r="E82" s="38">
        <f t="shared" si="6"/>
        <v>6450</v>
      </c>
      <c r="F82" s="34">
        <f t="shared" si="7"/>
        <v>0.03515944399018806</v>
      </c>
    </row>
    <row r="83" spans="1:6" s="100" customFormat="1" ht="26.25">
      <c r="A83" s="39" t="s">
        <v>78</v>
      </c>
      <c r="B83" s="38">
        <v>44396985</v>
      </c>
      <c r="C83" s="38">
        <v>44494707</v>
      </c>
      <c r="D83" s="38">
        <v>43147940</v>
      </c>
      <c r="E83" s="38">
        <f t="shared" si="6"/>
        <v>-1346767</v>
      </c>
      <c r="F83" s="34">
        <f t="shared" si="7"/>
        <v>-0.030268027161073338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1387856</v>
      </c>
      <c r="C85" s="38">
        <v>1388325</v>
      </c>
      <c r="D85" s="38">
        <v>1354881</v>
      </c>
      <c r="E85" s="38">
        <f t="shared" si="6"/>
        <v>-33444</v>
      </c>
      <c r="F85" s="34">
        <f t="shared" si="7"/>
        <v>-0.024089460320890283</v>
      </c>
    </row>
    <row r="86" spans="1:6" s="102" customFormat="1" ht="26.25">
      <c r="A86" s="42" t="s">
        <v>81</v>
      </c>
      <c r="B86" s="44">
        <v>45955906</v>
      </c>
      <c r="C86" s="44">
        <v>46066482</v>
      </c>
      <c r="D86" s="44">
        <v>44692721</v>
      </c>
      <c r="E86" s="44">
        <f t="shared" si="6"/>
        <v>-1373761</v>
      </c>
      <c r="F86" s="45">
        <f t="shared" si="7"/>
        <v>-0.02982127005053262</v>
      </c>
    </row>
    <row r="87" spans="1:6" s="100" customFormat="1" ht="26.25">
      <c r="A87" s="39" t="s">
        <v>82</v>
      </c>
      <c r="B87" s="38">
        <v>382902</v>
      </c>
      <c r="C87" s="38">
        <v>419748</v>
      </c>
      <c r="D87" s="38">
        <v>815846</v>
      </c>
      <c r="E87" s="38">
        <f t="shared" si="6"/>
        <v>396098</v>
      </c>
      <c r="F87" s="34">
        <f t="shared" si="7"/>
        <v>0.9436566701925917</v>
      </c>
    </row>
    <row r="88" spans="1:6" s="100" customFormat="1" ht="26.25">
      <c r="A88" s="39" t="s">
        <v>83</v>
      </c>
      <c r="B88" s="38">
        <v>1318314</v>
      </c>
      <c r="C88" s="38">
        <v>1324000</v>
      </c>
      <c r="D88" s="38">
        <v>1462000</v>
      </c>
      <c r="E88" s="38">
        <f t="shared" si="6"/>
        <v>138000</v>
      </c>
      <c r="F88" s="34">
        <f t="shared" si="7"/>
        <v>0.1042296072507553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1701216</v>
      </c>
      <c r="C90" s="61">
        <v>1743748</v>
      </c>
      <c r="D90" s="61">
        <v>2277846</v>
      </c>
      <c r="E90" s="61">
        <f t="shared" si="6"/>
        <v>534098</v>
      </c>
      <c r="F90" s="45">
        <f t="shared" si="7"/>
        <v>0.30629311116055763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126659128</v>
      </c>
      <c r="C92" s="64">
        <v>127801254</v>
      </c>
      <c r="D92" s="64">
        <v>132509914</v>
      </c>
      <c r="E92" s="64">
        <f t="shared" si="6"/>
        <v>4708660</v>
      </c>
      <c r="F92" s="65">
        <f t="shared" si="7"/>
        <v>0.03684361344373037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4" width="32.8515625" style="94" customWidth="1"/>
    <col min="5" max="5" width="34.5742187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99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16451174</v>
      </c>
      <c r="C8" s="33">
        <v>16451174</v>
      </c>
      <c r="D8" s="33">
        <v>16700736</v>
      </c>
      <c r="E8" s="33">
        <f aca="true" t="shared" si="0" ref="E8:E29">D8-C8</f>
        <v>249562</v>
      </c>
      <c r="F8" s="34">
        <f aca="true" t="shared" si="1" ref="F8:F29">IF(ISBLANK(E8),"  ",IF(C8&gt;0,E8/C8,IF(E8&gt;0,1,0)))</f>
        <v>0.01516985961001932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2870599.26</v>
      </c>
      <c r="C10" s="36">
        <v>3050096</v>
      </c>
      <c r="D10" s="36">
        <v>2771912</v>
      </c>
      <c r="E10" s="36">
        <f t="shared" si="0"/>
        <v>-278184</v>
      </c>
      <c r="F10" s="34">
        <f t="shared" si="1"/>
        <v>-0.09120499813776353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1167486.26</v>
      </c>
      <c r="C12" s="38">
        <v>1346983</v>
      </c>
      <c r="D12" s="38">
        <v>1306364</v>
      </c>
      <c r="E12" s="36">
        <f t="shared" si="0"/>
        <v>-40619</v>
      </c>
      <c r="F12" s="34">
        <f t="shared" si="1"/>
        <v>-0.030155540196127196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397235</v>
      </c>
      <c r="C14" s="38">
        <v>397235</v>
      </c>
      <c r="D14" s="38">
        <v>392432</v>
      </c>
      <c r="E14" s="36">
        <f t="shared" si="0"/>
        <v>-4803</v>
      </c>
      <c r="F14" s="34">
        <f t="shared" si="1"/>
        <v>-0.012091079587649628</v>
      </c>
    </row>
    <row r="15" spans="1:6" s="100" customFormat="1" ht="26.25">
      <c r="A15" s="39" t="s">
        <v>19</v>
      </c>
      <c r="B15" s="38">
        <v>1305878</v>
      </c>
      <c r="C15" s="38">
        <v>1305878</v>
      </c>
      <c r="D15" s="38">
        <v>1073116</v>
      </c>
      <c r="E15" s="36">
        <f t="shared" si="0"/>
        <v>-232762</v>
      </c>
      <c r="F15" s="34">
        <f t="shared" si="1"/>
        <v>-0.17824176531038888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19321773.259999998</v>
      </c>
      <c r="C35" s="44">
        <v>19501270</v>
      </c>
      <c r="D35" s="44">
        <v>19472648</v>
      </c>
      <c r="E35" s="44">
        <f>D35-C35</f>
        <v>-28622</v>
      </c>
      <c r="F35" s="45">
        <f>IF(ISBLANK(E35),"  ",IF(C35&gt;0,E35/C35,IF(E35&gt;0,1,0)))</f>
        <v>-0.0014676992831748907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45370028.650000006</v>
      </c>
      <c r="C48" s="50">
        <v>47889120</v>
      </c>
      <c r="D48" s="50">
        <v>48889120</v>
      </c>
      <c r="E48" s="50">
        <f>D48-C48</f>
        <v>1000000</v>
      </c>
      <c r="F48" s="45">
        <f>IF(ISBLANK(E48),"  ",IF(C48&gt;0,E48/C48,IF(E48&gt;0,1,0)))</f>
        <v>0.020881569759477726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64691801.910000004</v>
      </c>
      <c r="C54" s="50">
        <v>67390390</v>
      </c>
      <c r="D54" s="50">
        <v>68361768</v>
      </c>
      <c r="E54" s="50">
        <f>D54-C54</f>
        <v>971378</v>
      </c>
      <c r="F54" s="45">
        <f>IF(ISBLANK(E54),"  ",IF(C54&gt;0,E54/C54,IF(E54&gt;0,1,0)))</f>
        <v>0.014414191697065412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24701502.220000003</v>
      </c>
      <c r="C58" s="29">
        <v>27496757</v>
      </c>
      <c r="D58" s="29">
        <v>28582061</v>
      </c>
      <c r="E58" s="29">
        <f aca="true" t="shared" si="4" ref="E58:E71">D58-C58</f>
        <v>1085304</v>
      </c>
      <c r="F58" s="34">
        <f aca="true" t="shared" si="5" ref="F58:F71">IF(ISBLANK(E58),"  ",IF(C58&gt;0,E58/C58,IF(E58&gt;0,1,0)))</f>
        <v>0.03947025461948113</v>
      </c>
    </row>
    <row r="59" spans="1:6" s="100" customFormat="1" ht="26.25">
      <c r="A59" s="39" t="s">
        <v>55</v>
      </c>
      <c r="B59" s="38">
        <v>2495908</v>
      </c>
      <c r="C59" s="38">
        <v>1688220</v>
      </c>
      <c r="D59" s="38">
        <v>505963</v>
      </c>
      <c r="E59" s="38">
        <f t="shared" si="4"/>
        <v>-1182257</v>
      </c>
      <c r="F59" s="34">
        <f t="shared" si="5"/>
        <v>-0.7002979469500421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5645852.7700000005</v>
      </c>
      <c r="C61" s="38">
        <v>5823043</v>
      </c>
      <c r="D61" s="38">
        <v>5864413</v>
      </c>
      <c r="E61" s="38">
        <f t="shared" si="4"/>
        <v>41370</v>
      </c>
      <c r="F61" s="34">
        <f t="shared" si="5"/>
        <v>0.007104532801835741</v>
      </c>
    </row>
    <row r="62" spans="1:6" s="100" customFormat="1" ht="26.25">
      <c r="A62" s="39" t="s">
        <v>58</v>
      </c>
      <c r="B62" s="38">
        <v>4145981.840000001</v>
      </c>
      <c r="C62" s="38">
        <v>3715972</v>
      </c>
      <c r="D62" s="38">
        <v>3799764</v>
      </c>
      <c r="E62" s="38">
        <f t="shared" si="4"/>
        <v>83792</v>
      </c>
      <c r="F62" s="34">
        <f t="shared" si="5"/>
        <v>0.022549147302509277</v>
      </c>
    </row>
    <row r="63" spans="1:6" s="100" customFormat="1" ht="26.25">
      <c r="A63" s="39" t="s">
        <v>59</v>
      </c>
      <c r="B63" s="38">
        <v>9428021.989999998</v>
      </c>
      <c r="C63" s="38">
        <v>8774951</v>
      </c>
      <c r="D63" s="38">
        <v>8821188</v>
      </c>
      <c r="E63" s="38">
        <f t="shared" si="4"/>
        <v>46237</v>
      </c>
      <c r="F63" s="34">
        <f t="shared" si="5"/>
        <v>0.0052692032126447205</v>
      </c>
    </row>
    <row r="64" spans="1:6" s="100" customFormat="1" ht="26.25">
      <c r="A64" s="39" t="s">
        <v>60</v>
      </c>
      <c r="B64" s="38">
        <v>6006807.18</v>
      </c>
      <c r="C64" s="38">
        <v>5992152</v>
      </c>
      <c r="D64" s="38">
        <v>6992152</v>
      </c>
      <c r="E64" s="38">
        <f t="shared" si="4"/>
        <v>1000000</v>
      </c>
      <c r="F64" s="34">
        <f t="shared" si="5"/>
        <v>0.1668849521841235</v>
      </c>
    </row>
    <row r="65" spans="1:6" s="100" customFormat="1" ht="26.25">
      <c r="A65" s="39" t="s">
        <v>61</v>
      </c>
      <c r="B65" s="38">
        <v>5130743.21</v>
      </c>
      <c r="C65" s="38">
        <v>6540889</v>
      </c>
      <c r="D65" s="38">
        <v>6577101</v>
      </c>
      <c r="E65" s="38">
        <f t="shared" si="4"/>
        <v>36212</v>
      </c>
      <c r="F65" s="34">
        <f t="shared" si="5"/>
        <v>0.00553625050050536</v>
      </c>
    </row>
    <row r="66" spans="1:6" s="102" customFormat="1" ht="26.25">
      <c r="A66" s="59" t="s">
        <v>62</v>
      </c>
      <c r="B66" s="44">
        <v>57554817.21000001</v>
      </c>
      <c r="C66" s="44">
        <v>60031984</v>
      </c>
      <c r="D66" s="44">
        <v>61142642</v>
      </c>
      <c r="E66" s="44">
        <f t="shared" si="4"/>
        <v>1110658</v>
      </c>
      <c r="F66" s="45">
        <f t="shared" si="5"/>
        <v>0.018501104344644016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1353629.95</v>
      </c>
      <c r="C68" s="38">
        <v>1529872</v>
      </c>
      <c r="D68" s="38">
        <v>1603654</v>
      </c>
      <c r="E68" s="38">
        <f t="shared" si="4"/>
        <v>73782</v>
      </c>
      <c r="F68" s="34">
        <f t="shared" si="5"/>
        <v>0.04822756413608459</v>
      </c>
    </row>
    <row r="69" spans="1:6" s="100" customFormat="1" ht="26.25">
      <c r="A69" s="39" t="s">
        <v>65</v>
      </c>
      <c r="B69" s="38">
        <v>3769421.0000000005</v>
      </c>
      <c r="C69" s="38">
        <v>3769421</v>
      </c>
      <c r="D69" s="38">
        <v>3782044</v>
      </c>
      <c r="E69" s="38">
        <f t="shared" si="4"/>
        <v>12623</v>
      </c>
      <c r="F69" s="34">
        <f t="shared" si="5"/>
        <v>0.003348790172283754</v>
      </c>
    </row>
    <row r="70" spans="1:6" s="100" customFormat="1" ht="26.25">
      <c r="A70" s="39" t="s">
        <v>66</v>
      </c>
      <c r="B70" s="38">
        <v>2013933.75</v>
      </c>
      <c r="C70" s="38">
        <v>2059113</v>
      </c>
      <c r="D70" s="38">
        <v>1833428</v>
      </c>
      <c r="E70" s="38">
        <f t="shared" si="4"/>
        <v>-225685</v>
      </c>
      <c r="F70" s="34">
        <f t="shared" si="5"/>
        <v>-0.10960301838704335</v>
      </c>
    </row>
    <row r="71" spans="1:6" s="102" customFormat="1" ht="26.25">
      <c r="A71" s="60" t="s">
        <v>67</v>
      </c>
      <c r="B71" s="61">
        <v>64691801.91000001</v>
      </c>
      <c r="C71" s="61">
        <v>67390390</v>
      </c>
      <c r="D71" s="61">
        <v>68361768</v>
      </c>
      <c r="E71" s="61">
        <f t="shared" si="4"/>
        <v>971378</v>
      </c>
      <c r="F71" s="45">
        <f t="shared" si="5"/>
        <v>0.014414191697065412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30295602.169999998</v>
      </c>
      <c r="C74" s="33">
        <v>31041792</v>
      </c>
      <c r="D74" s="33">
        <v>30412768</v>
      </c>
      <c r="E74" s="29">
        <f aca="true" t="shared" si="6" ref="E74:E92">D74-C74</f>
        <v>-629024</v>
      </c>
      <c r="F74" s="34">
        <f aca="true" t="shared" si="7" ref="F74:F92">IF(ISBLANK(E74),"  ",IF(C74&gt;0,E74/C74,IF(E74&gt;0,1,0)))</f>
        <v>-0.020263778585978543</v>
      </c>
    </row>
    <row r="75" spans="1:6" s="100" customFormat="1" ht="26.25">
      <c r="A75" s="39" t="s">
        <v>70</v>
      </c>
      <c r="B75" s="36">
        <v>605819.16</v>
      </c>
      <c r="C75" s="36">
        <v>645800</v>
      </c>
      <c r="D75" s="36">
        <v>623480</v>
      </c>
      <c r="E75" s="38">
        <f t="shared" si="6"/>
        <v>-22320</v>
      </c>
      <c r="F75" s="34">
        <f t="shared" si="7"/>
        <v>-0.034561783834004337</v>
      </c>
    </row>
    <row r="76" spans="1:6" s="100" customFormat="1" ht="26.25">
      <c r="A76" s="39" t="s">
        <v>71</v>
      </c>
      <c r="B76" s="29">
        <v>13696831.440000001</v>
      </c>
      <c r="C76" s="29">
        <v>14727776</v>
      </c>
      <c r="D76" s="29">
        <v>15047877</v>
      </c>
      <c r="E76" s="38">
        <f t="shared" si="6"/>
        <v>320101</v>
      </c>
      <c r="F76" s="34">
        <f t="shared" si="7"/>
        <v>0.021734510356485597</v>
      </c>
    </row>
    <row r="77" spans="1:6" s="102" customFormat="1" ht="26.25">
      <c r="A77" s="59" t="s">
        <v>72</v>
      </c>
      <c r="B77" s="61">
        <v>44598252.769999996</v>
      </c>
      <c r="C77" s="61">
        <v>46415368</v>
      </c>
      <c r="D77" s="61">
        <v>46084125</v>
      </c>
      <c r="E77" s="44">
        <f t="shared" si="6"/>
        <v>-331243</v>
      </c>
      <c r="F77" s="45">
        <f t="shared" si="7"/>
        <v>-0.007136494102556722</v>
      </c>
    </row>
    <row r="78" spans="1:6" s="100" customFormat="1" ht="26.25">
      <c r="A78" s="39" t="s">
        <v>73</v>
      </c>
      <c r="B78" s="36">
        <v>168279.46999999997</v>
      </c>
      <c r="C78" s="36">
        <v>207586</v>
      </c>
      <c r="D78" s="36">
        <v>225034</v>
      </c>
      <c r="E78" s="38">
        <f t="shared" si="6"/>
        <v>17448</v>
      </c>
      <c r="F78" s="34">
        <f t="shared" si="7"/>
        <v>0.0840519110151937</v>
      </c>
    </row>
    <row r="79" spans="1:6" s="100" customFormat="1" ht="26.25">
      <c r="A79" s="39" t="s">
        <v>74</v>
      </c>
      <c r="B79" s="33">
        <v>3482942.83</v>
      </c>
      <c r="C79" s="33">
        <v>4126462</v>
      </c>
      <c r="D79" s="33">
        <v>4296950</v>
      </c>
      <c r="E79" s="38">
        <f t="shared" si="6"/>
        <v>170488</v>
      </c>
      <c r="F79" s="34">
        <f t="shared" si="7"/>
        <v>0.041315780928068646</v>
      </c>
    </row>
    <row r="80" spans="1:6" s="100" customFormat="1" ht="26.25">
      <c r="A80" s="39" t="s">
        <v>75</v>
      </c>
      <c r="B80" s="29">
        <v>537943.73</v>
      </c>
      <c r="C80" s="29">
        <v>948392</v>
      </c>
      <c r="D80" s="29">
        <v>791271</v>
      </c>
      <c r="E80" s="38">
        <f t="shared" si="6"/>
        <v>-157121</v>
      </c>
      <c r="F80" s="34">
        <f t="shared" si="7"/>
        <v>-0.16567094619102649</v>
      </c>
    </row>
    <row r="81" spans="1:6" s="102" customFormat="1" ht="26.25">
      <c r="A81" s="42" t="s">
        <v>76</v>
      </c>
      <c r="B81" s="61">
        <v>4189166.03</v>
      </c>
      <c r="C81" s="61">
        <v>5282440</v>
      </c>
      <c r="D81" s="61">
        <v>5313255</v>
      </c>
      <c r="E81" s="44">
        <f t="shared" si="6"/>
        <v>30815</v>
      </c>
      <c r="F81" s="45">
        <f t="shared" si="7"/>
        <v>0.005833478468283596</v>
      </c>
    </row>
    <row r="82" spans="1:6" s="100" customFormat="1" ht="26.25">
      <c r="A82" s="39" t="s">
        <v>77</v>
      </c>
      <c r="B82" s="29">
        <v>279522.64</v>
      </c>
      <c r="C82" s="29">
        <v>339791</v>
      </c>
      <c r="D82" s="29">
        <v>381066</v>
      </c>
      <c r="E82" s="38">
        <f t="shared" si="6"/>
        <v>41275</v>
      </c>
      <c r="F82" s="34">
        <f t="shared" si="7"/>
        <v>0.1214717282093993</v>
      </c>
    </row>
    <row r="83" spans="1:6" s="100" customFormat="1" ht="26.25">
      <c r="A83" s="39" t="s">
        <v>78</v>
      </c>
      <c r="B83" s="38">
        <v>13264505.98</v>
      </c>
      <c r="C83" s="38">
        <v>12174186</v>
      </c>
      <c r="D83" s="38">
        <v>12961124</v>
      </c>
      <c r="E83" s="38">
        <f t="shared" si="6"/>
        <v>786938</v>
      </c>
      <c r="F83" s="34">
        <f t="shared" si="7"/>
        <v>0.06463988639569003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1353629.95</v>
      </c>
      <c r="C85" s="38">
        <v>1529872</v>
      </c>
      <c r="D85" s="38">
        <v>1603654</v>
      </c>
      <c r="E85" s="38">
        <f t="shared" si="6"/>
        <v>73782</v>
      </c>
      <c r="F85" s="34">
        <f t="shared" si="7"/>
        <v>0.04822756413608459</v>
      </c>
    </row>
    <row r="86" spans="1:6" s="102" customFormat="1" ht="26.25">
      <c r="A86" s="42" t="s">
        <v>81</v>
      </c>
      <c r="B86" s="44">
        <v>14897658.57</v>
      </c>
      <c r="C86" s="44">
        <v>14043849</v>
      </c>
      <c r="D86" s="44">
        <v>14945844</v>
      </c>
      <c r="E86" s="44">
        <f t="shared" si="6"/>
        <v>901995</v>
      </c>
      <c r="F86" s="45">
        <f t="shared" si="7"/>
        <v>0.06422705057566483</v>
      </c>
    </row>
    <row r="87" spans="1:6" s="100" customFormat="1" ht="26.25">
      <c r="A87" s="39" t="s">
        <v>82</v>
      </c>
      <c r="B87" s="38">
        <v>575492.37</v>
      </c>
      <c r="C87" s="38">
        <v>955483</v>
      </c>
      <c r="D87" s="38">
        <v>1325294</v>
      </c>
      <c r="E87" s="38">
        <f t="shared" si="6"/>
        <v>369811</v>
      </c>
      <c r="F87" s="34">
        <f t="shared" si="7"/>
        <v>0.38704089973343325</v>
      </c>
    </row>
    <row r="88" spans="1:6" s="100" customFormat="1" ht="26.25">
      <c r="A88" s="39" t="s">
        <v>83</v>
      </c>
      <c r="B88" s="38">
        <v>163602.47</v>
      </c>
      <c r="C88" s="38">
        <v>193250</v>
      </c>
      <c r="D88" s="38">
        <v>193250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267629.7</v>
      </c>
      <c r="C89" s="38">
        <v>500000</v>
      </c>
      <c r="D89" s="38">
        <v>500000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1006724.54</v>
      </c>
      <c r="C90" s="61">
        <v>1648733</v>
      </c>
      <c r="D90" s="61">
        <v>2018544</v>
      </c>
      <c r="E90" s="61">
        <f t="shared" si="6"/>
        <v>369811</v>
      </c>
      <c r="F90" s="45">
        <f t="shared" si="7"/>
        <v>0.22430011408760545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64691801.91</v>
      </c>
      <c r="C92" s="64">
        <v>67390390</v>
      </c>
      <c r="D92" s="64">
        <v>68361768</v>
      </c>
      <c r="E92" s="64">
        <f t="shared" si="6"/>
        <v>971378</v>
      </c>
      <c r="F92" s="65">
        <f t="shared" si="7"/>
        <v>0.014414191697065412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53.140625" style="95" bestFit="1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100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13793347</v>
      </c>
      <c r="C8" s="33">
        <v>13793347</v>
      </c>
      <c r="D8" s="33">
        <v>13983559</v>
      </c>
      <c r="E8" s="33">
        <f aca="true" t="shared" si="0" ref="E8:E29">D8-C8</f>
        <v>190212</v>
      </c>
      <c r="F8" s="34">
        <f aca="true" t="shared" si="1" ref="F8:F29">IF(ISBLANK(E8),"  ",IF(C8&gt;0,E8/C8,IF(E8&gt;0,1,0)))</f>
        <v>0.013790126500841311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1025085</v>
      </c>
      <c r="C10" s="36">
        <v>1182688</v>
      </c>
      <c r="D10" s="36">
        <v>1147024</v>
      </c>
      <c r="E10" s="36">
        <f t="shared" si="0"/>
        <v>-35664</v>
      </c>
      <c r="F10" s="34">
        <f t="shared" si="1"/>
        <v>-0.030155036662247354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1025085</v>
      </c>
      <c r="C12" s="38">
        <v>1182688</v>
      </c>
      <c r="D12" s="38">
        <v>1147024</v>
      </c>
      <c r="E12" s="36">
        <f t="shared" si="0"/>
        <v>-35664</v>
      </c>
      <c r="F12" s="34">
        <f t="shared" si="1"/>
        <v>-0.030155036662247354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14818432</v>
      </c>
      <c r="C35" s="44">
        <v>14976035</v>
      </c>
      <c r="D35" s="44">
        <v>15130583</v>
      </c>
      <c r="E35" s="44">
        <f>D35-C35</f>
        <v>154548</v>
      </c>
      <c r="F35" s="45">
        <f>IF(ISBLANK(E35),"  ",IF(C35&gt;0,E35/C35,IF(E35&gt;0,1,0)))</f>
        <v>0.010319687420602316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40183003</v>
      </c>
      <c r="C48" s="50">
        <v>40367731</v>
      </c>
      <c r="D48" s="50">
        <v>41817731</v>
      </c>
      <c r="E48" s="50">
        <f>D48-C48</f>
        <v>1450000</v>
      </c>
      <c r="F48" s="45">
        <f>IF(ISBLANK(E48),"  ",IF(C48&gt;0,E48/C48,IF(E48&gt;0,1,0)))</f>
        <v>0.03591977958830532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55001435</v>
      </c>
      <c r="C54" s="50">
        <v>55343766</v>
      </c>
      <c r="D54" s="50">
        <v>56948314</v>
      </c>
      <c r="E54" s="50">
        <f>D54-C54</f>
        <v>1604548</v>
      </c>
      <c r="F54" s="45">
        <f>IF(ISBLANK(E54),"  ",IF(C54&gt;0,E54/C54,IF(E54&gt;0,1,0)))</f>
        <v>0.028992389133764406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25937585</v>
      </c>
      <c r="C58" s="29">
        <v>27575003</v>
      </c>
      <c r="D58" s="29">
        <v>28850809</v>
      </c>
      <c r="E58" s="29">
        <f aca="true" t="shared" si="4" ref="E58:E71">D58-C58</f>
        <v>1275806</v>
      </c>
      <c r="F58" s="34">
        <f aca="true" t="shared" si="5" ref="F58:F71">IF(ISBLANK(E58),"  ",IF(C58&gt;0,E58/C58,IF(E58&gt;0,1,0)))</f>
        <v>0.046266758339065274</v>
      </c>
    </row>
    <row r="59" spans="1:6" s="100" customFormat="1" ht="26.25">
      <c r="A59" s="39" t="s">
        <v>55</v>
      </c>
      <c r="B59" s="38">
        <v>390275</v>
      </c>
      <c r="C59" s="38">
        <v>414109</v>
      </c>
      <c r="D59" s="38">
        <v>419034</v>
      </c>
      <c r="E59" s="38">
        <f t="shared" si="4"/>
        <v>4925</v>
      </c>
      <c r="F59" s="34">
        <f t="shared" si="5"/>
        <v>0.0118930040158509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5564672</v>
      </c>
      <c r="C61" s="38">
        <v>5561579</v>
      </c>
      <c r="D61" s="38">
        <v>6010090</v>
      </c>
      <c r="E61" s="38">
        <f t="shared" si="4"/>
        <v>448511</v>
      </c>
      <c r="F61" s="34">
        <f t="shared" si="5"/>
        <v>0.08064454357296731</v>
      </c>
    </row>
    <row r="62" spans="1:6" s="100" customFormat="1" ht="26.25">
      <c r="A62" s="39" t="s">
        <v>58</v>
      </c>
      <c r="B62" s="38">
        <v>2984871</v>
      </c>
      <c r="C62" s="38">
        <v>3092868</v>
      </c>
      <c r="D62" s="38">
        <v>3340595</v>
      </c>
      <c r="E62" s="38">
        <f t="shared" si="4"/>
        <v>247727</v>
      </c>
      <c r="F62" s="34">
        <f t="shared" si="5"/>
        <v>0.08009620843825213</v>
      </c>
    </row>
    <row r="63" spans="1:6" s="100" customFormat="1" ht="26.25">
      <c r="A63" s="39" t="s">
        <v>59</v>
      </c>
      <c r="B63" s="38">
        <v>7506769</v>
      </c>
      <c r="C63" s="38">
        <v>7306703</v>
      </c>
      <c r="D63" s="38">
        <v>7464703</v>
      </c>
      <c r="E63" s="38">
        <f t="shared" si="4"/>
        <v>158000</v>
      </c>
      <c r="F63" s="34">
        <f t="shared" si="5"/>
        <v>0.021623980063237826</v>
      </c>
    </row>
    <row r="64" spans="1:6" s="100" customFormat="1" ht="26.25">
      <c r="A64" s="39" t="s">
        <v>60</v>
      </c>
      <c r="B64" s="38">
        <v>4709619</v>
      </c>
      <c r="C64" s="38">
        <v>4207627</v>
      </c>
      <c r="D64" s="38">
        <v>3322826</v>
      </c>
      <c r="E64" s="38">
        <f t="shared" si="4"/>
        <v>-884801</v>
      </c>
      <c r="F64" s="34">
        <f t="shared" si="5"/>
        <v>-0.21028503714801716</v>
      </c>
    </row>
    <row r="65" spans="1:6" s="100" customFormat="1" ht="26.25">
      <c r="A65" s="39" t="s">
        <v>61</v>
      </c>
      <c r="B65" s="38">
        <v>5773435</v>
      </c>
      <c r="C65" s="38">
        <v>5873299</v>
      </c>
      <c r="D65" s="38">
        <v>6273325</v>
      </c>
      <c r="E65" s="38">
        <f t="shared" si="4"/>
        <v>400026</v>
      </c>
      <c r="F65" s="34">
        <f t="shared" si="5"/>
        <v>0.0681092517169652</v>
      </c>
    </row>
    <row r="66" spans="1:6" s="102" customFormat="1" ht="26.25">
      <c r="A66" s="59" t="s">
        <v>62</v>
      </c>
      <c r="B66" s="44">
        <v>52867226</v>
      </c>
      <c r="C66" s="44">
        <v>54031188</v>
      </c>
      <c r="D66" s="44">
        <v>55681382</v>
      </c>
      <c r="E66" s="44">
        <f t="shared" si="4"/>
        <v>1650194</v>
      </c>
      <c r="F66" s="45">
        <f t="shared" si="5"/>
        <v>0.030541508730106026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1880015</v>
      </c>
      <c r="C69" s="38">
        <v>1032578</v>
      </c>
      <c r="D69" s="38">
        <v>1006932</v>
      </c>
      <c r="E69" s="38">
        <f t="shared" si="4"/>
        <v>-25646</v>
      </c>
      <c r="F69" s="34">
        <f t="shared" si="5"/>
        <v>-0.024836864624270514</v>
      </c>
    </row>
    <row r="70" spans="1:6" s="100" customFormat="1" ht="26.25">
      <c r="A70" s="39" t="s">
        <v>66</v>
      </c>
      <c r="B70" s="38">
        <v>254194</v>
      </c>
      <c r="C70" s="38">
        <v>280000</v>
      </c>
      <c r="D70" s="38">
        <v>260000</v>
      </c>
      <c r="E70" s="38">
        <f t="shared" si="4"/>
        <v>-20000</v>
      </c>
      <c r="F70" s="34">
        <f t="shared" si="5"/>
        <v>-0.07142857142857142</v>
      </c>
    </row>
    <row r="71" spans="1:6" s="102" customFormat="1" ht="26.25">
      <c r="A71" s="60" t="s">
        <v>67</v>
      </c>
      <c r="B71" s="61">
        <v>55001435</v>
      </c>
      <c r="C71" s="61">
        <v>55343766</v>
      </c>
      <c r="D71" s="61">
        <v>56948314</v>
      </c>
      <c r="E71" s="61">
        <f t="shared" si="4"/>
        <v>1604548</v>
      </c>
      <c r="F71" s="45">
        <f t="shared" si="5"/>
        <v>0.028992389133764406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27179320</v>
      </c>
      <c r="C74" s="33">
        <v>27930357</v>
      </c>
      <c r="D74" s="33">
        <v>28514390</v>
      </c>
      <c r="E74" s="29">
        <f aca="true" t="shared" si="6" ref="E74:E92">D74-C74</f>
        <v>584033</v>
      </c>
      <c r="F74" s="34">
        <f aca="true" t="shared" si="7" ref="F74:F92">IF(ISBLANK(E74),"  ",IF(C74&gt;0,E74/C74,IF(E74&gt;0,1,0)))</f>
        <v>0.020910330648476853</v>
      </c>
    </row>
    <row r="75" spans="1:6" s="100" customFormat="1" ht="26.25">
      <c r="A75" s="39" t="s">
        <v>70</v>
      </c>
      <c r="B75" s="36">
        <v>306090</v>
      </c>
      <c r="C75" s="36">
        <v>335248</v>
      </c>
      <c r="D75" s="36">
        <v>352942</v>
      </c>
      <c r="E75" s="38">
        <f t="shared" si="6"/>
        <v>17694</v>
      </c>
      <c r="F75" s="34">
        <f t="shared" si="7"/>
        <v>0.05277883835250322</v>
      </c>
    </row>
    <row r="76" spans="1:6" s="100" customFormat="1" ht="26.25">
      <c r="A76" s="39" t="s">
        <v>71</v>
      </c>
      <c r="B76" s="29">
        <v>12986486</v>
      </c>
      <c r="C76" s="29">
        <v>13483666</v>
      </c>
      <c r="D76" s="29">
        <v>14165064</v>
      </c>
      <c r="E76" s="38">
        <f t="shared" si="6"/>
        <v>681398</v>
      </c>
      <c r="F76" s="34">
        <f t="shared" si="7"/>
        <v>0.050535069616823795</v>
      </c>
    </row>
    <row r="77" spans="1:6" s="102" customFormat="1" ht="26.25">
      <c r="A77" s="59" t="s">
        <v>72</v>
      </c>
      <c r="B77" s="61">
        <v>40471896</v>
      </c>
      <c r="C77" s="61">
        <v>41749271</v>
      </c>
      <c r="D77" s="61">
        <v>43032396</v>
      </c>
      <c r="E77" s="44">
        <f t="shared" si="6"/>
        <v>1283125</v>
      </c>
      <c r="F77" s="45">
        <f t="shared" si="7"/>
        <v>0.03073406958411322</v>
      </c>
    </row>
    <row r="78" spans="1:6" s="100" customFormat="1" ht="26.25">
      <c r="A78" s="39" t="s">
        <v>73</v>
      </c>
      <c r="B78" s="36">
        <v>164927</v>
      </c>
      <c r="C78" s="36">
        <v>267534</v>
      </c>
      <c r="D78" s="36">
        <v>301330</v>
      </c>
      <c r="E78" s="38">
        <f t="shared" si="6"/>
        <v>33796</v>
      </c>
      <c r="F78" s="34">
        <f t="shared" si="7"/>
        <v>0.12632413076468785</v>
      </c>
    </row>
    <row r="79" spans="1:6" s="100" customFormat="1" ht="26.25">
      <c r="A79" s="39" t="s">
        <v>74</v>
      </c>
      <c r="B79" s="33">
        <v>3779543</v>
      </c>
      <c r="C79" s="33">
        <v>3889229</v>
      </c>
      <c r="D79" s="33">
        <v>4283074</v>
      </c>
      <c r="E79" s="38">
        <f t="shared" si="6"/>
        <v>393845</v>
      </c>
      <c r="F79" s="34">
        <f t="shared" si="7"/>
        <v>0.10126557217381646</v>
      </c>
    </row>
    <row r="80" spans="1:6" s="100" customFormat="1" ht="26.25">
      <c r="A80" s="39" t="s">
        <v>75</v>
      </c>
      <c r="B80" s="29">
        <v>1113088</v>
      </c>
      <c r="C80" s="29">
        <v>1080803</v>
      </c>
      <c r="D80" s="29">
        <v>1017058</v>
      </c>
      <c r="E80" s="38">
        <f t="shared" si="6"/>
        <v>-63745</v>
      </c>
      <c r="F80" s="34">
        <f t="shared" si="7"/>
        <v>-0.05897929594940059</v>
      </c>
    </row>
    <row r="81" spans="1:6" s="102" customFormat="1" ht="26.25">
      <c r="A81" s="42" t="s">
        <v>76</v>
      </c>
      <c r="B81" s="61">
        <v>5057558</v>
      </c>
      <c r="C81" s="61">
        <v>5237566</v>
      </c>
      <c r="D81" s="61">
        <v>5601462</v>
      </c>
      <c r="E81" s="44">
        <f t="shared" si="6"/>
        <v>363896</v>
      </c>
      <c r="F81" s="45">
        <f t="shared" si="7"/>
        <v>0.06947807435744008</v>
      </c>
    </row>
    <row r="82" spans="1:6" s="100" customFormat="1" ht="26.25">
      <c r="A82" s="39" t="s">
        <v>77</v>
      </c>
      <c r="B82" s="29">
        <v>287824</v>
      </c>
      <c r="C82" s="29">
        <v>330547</v>
      </c>
      <c r="D82" s="29">
        <v>426627</v>
      </c>
      <c r="E82" s="38">
        <f t="shared" si="6"/>
        <v>96080</v>
      </c>
      <c r="F82" s="34">
        <f t="shared" si="7"/>
        <v>0.29066970808992365</v>
      </c>
    </row>
    <row r="83" spans="1:6" s="100" customFormat="1" ht="26.25">
      <c r="A83" s="39" t="s">
        <v>78</v>
      </c>
      <c r="B83" s="38">
        <v>7445189</v>
      </c>
      <c r="C83" s="38">
        <v>6583761</v>
      </c>
      <c r="D83" s="38">
        <v>6442892</v>
      </c>
      <c r="E83" s="38">
        <f t="shared" si="6"/>
        <v>-140869</v>
      </c>
      <c r="F83" s="34">
        <f t="shared" si="7"/>
        <v>-0.021396432829198994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1053190</v>
      </c>
      <c r="C85" s="38">
        <v>1057138</v>
      </c>
      <c r="D85" s="38">
        <v>1029454</v>
      </c>
      <c r="E85" s="38">
        <f t="shared" si="6"/>
        <v>-27684</v>
      </c>
      <c r="F85" s="34">
        <f t="shared" si="7"/>
        <v>-0.02618768788937679</v>
      </c>
    </row>
    <row r="86" spans="1:6" s="102" customFormat="1" ht="26.25">
      <c r="A86" s="42" t="s">
        <v>81</v>
      </c>
      <c r="B86" s="44">
        <v>8786203</v>
      </c>
      <c r="C86" s="44">
        <v>7971446</v>
      </c>
      <c r="D86" s="44">
        <v>7898973</v>
      </c>
      <c r="E86" s="44">
        <f t="shared" si="6"/>
        <v>-72473</v>
      </c>
      <c r="F86" s="45">
        <f t="shared" si="7"/>
        <v>-0.009091575104441528</v>
      </c>
    </row>
    <row r="87" spans="1:6" s="100" customFormat="1" ht="26.25">
      <c r="A87" s="39" t="s">
        <v>82</v>
      </c>
      <c r="B87" s="38">
        <v>310472</v>
      </c>
      <c r="C87" s="38">
        <v>5962</v>
      </c>
      <c r="D87" s="38">
        <v>5962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375306</v>
      </c>
      <c r="C88" s="38">
        <v>379521</v>
      </c>
      <c r="D88" s="38">
        <v>409521</v>
      </c>
      <c r="E88" s="38">
        <f t="shared" si="6"/>
        <v>30000</v>
      </c>
      <c r="F88" s="34">
        <f t="shared" si="7"/>
        <v>0.07904700925640479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685778</v>
      </c>
      <c r="C90" s="61">
        <v>385483</v>
      </c>
      <c r="D90" s="61">
        <v>415483</v>
      </c>
      <c r="E90" s="61">
        <f t="shared" si="6"/>
        <v>30000</v>
      </c>
      <c r="F90" s="45">
        <f t="shared" si="7"/>
        <v>0.07782444362008183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55001435</v>
      </c>
      <c r="C92" s="64">
        <v>55343766</v>
      </c>
      <c r="D92" s="64">
        <v>56948314</v>
      </c>
      <c r="E92" s="64">
        <f t="shared" si="6"/>
        <v>1604548</v>
      </c>
      <c r="F92" s="65">
        <f t="shared" si="7"/>
        <v>0.028992389133764406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  <row r="94" spans="5:8" ht="41.25" customHeight="1">
      <c r="E94" s="104"/>
      <c r="F94" s="105"/>
      <c r="G94" s="105"/>
      <c r="H94" s="93"/>
    </row>
    <row r="95" spans="5:7" ht="41.25" customHeight="1">
      <c r="E95" s="104"/>
      <c r="F95" s="104"/>
      <c r="G95" s="104"/>
    </row>
  </sheetData>
  <sheetProtection/>
  <printOptions/>
  <pageMargins left="0.25" right="0.25" top="0.75" bottom="0.75" header="0.3" footer="0.3"/>
  <pageSetup fitToHeight="1" fitToWidth="1" horizontalDpi="600" verticalDpi="600" orientation="portrait" scale="2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101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19061952</v>
      </c>
      <c r="C8" s="33">
        <v>19061952</v>
      </c>
      <c r="D8" s="33">
        <v>19797594</v>
      </c>
      <c r="E8" s="33">
        <f aca="true" t="shared" si="0" ref="E8:E29">D8-C8</f>
        <v>735642</v>
      </c>
      <c r="F8" s="34">
        <f aca="true" t="shared" si="1" ref="F8:F29">IF(ISBLANK(E8),"  ",IF(C8&gt;0,E8/C8,IF(E8&gt;0,1,0)))</f>
        <v>0.03859216516755472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1195865</v>
      </c>
      <c r="C10" s="36">
        <v>1379725</v>
      </c>
      <c r="D10" s="36">
        <v>1338119</v>
      </c>
      <c r="E10" s="36">
        <f t="shared" si="0"/>
        <v>-41606</v>
      </c>
      <c r="F10" s="34">
        <f t="shared" si="1"/>
        <v>-0.030155284567576872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1195865</v>
      </c>
      <c r="C12" s="38">
        <v>1379725</v>
      </c>
      <c r="D12" s="38">
        <v>1338119</v>
      </c>
      <c r="E12" s="36">
        <f t="shared" si="0"/>
        <v>-41606</v>
      </c>
      <c r="F12" s="34">
        <f t="shared" si="1"/>
        <v>-0.030155284567576872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20257817</v>
      </c>
      <c r="C35" s="44">
        <v>20441677</v>
      </c>
      <c r="D35" s="44">
        <v>21135713</v>
      </c>
      <c r="E35" s="44">
        <f>D35-C35</f>
        <v>694036</v>
      </c>
      <c r="F35" s="45">
        <f>IF(ISBLANK(E35),"  ",IF(C35&gt;0,E35/C35,IF(E35&gt;0,1,0)))</f>
        <v>0.03395200892764327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74923</v>
      </c>
      <c r="C44" s="52">
        <v>74923</v>
      </c>
      <c r="D44" s="52">
        <v>74923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54532682</v>
      </c>
      <c r="C48" s="50">
        <v>55551127</v>
      </c>
      <c r="D48" s="50">
        <v>57551127</v>
      </c>
      <c r="E48" s="50">
        <f>D48-C48</f>
        <v>2000000</v>
      </c>
      <c r="F48" s="45">
        <f>IF(ISBLANK(E48),"  ",IF(C48&gt;0,E48/C48,IF(E48&gt;0,1,0)))</f>
        <v>0.03600286993277382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8" s="102" customFormat="1" ht="26.25">
      <c r="A54" s="56" t="s">
        <v>52</v>
      </c>
      <c r="B54" s="50">
        <v>74865422</v>
      </c>
      <c r="C54" s="50">
        <v>76067727</v>
      </c>
      <c r="D54" s="50">
        <v>78761763</v>
      </c>
      <c r="E54" s="50">
        <f>D54-C54</f>
        <v>2694036</v>
      </c>
      <c r="F54" s="45">
        <f>IF(ISBLANK(E54),"  ",IF(C54&gt;0,E54/C54,IF(E54&gt;0,1,0)))</f>
        <v>0.035416281072786625</v>
      </c>
      <c r="H54" s="103"/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33099449</v>
      </c>
      <c r="C58" s="29">
        <v>34301754</v>
      </c>
      <c r="D58" s="29">
        <v>36208652</v>
      </c>
      <c r="E58" s="29">
        <f aca="true" t="shared" si="4" ref="E58:E71">D58-C58</f>
        <v>1906898</v>
      </c>
      <c r="F58" s="34">
        <f aca="true" t="shared" si="5" ref="F58:F71">IF(ISBLANK(E58),"  ",IF(C58&gt;0,E58/C58,IF(E58&gt;0,1,0)))</f>
        <v>0.05559185107560389</v>
      </c>
    </row>
    <row r="59" spans="1:6" s="100" customFormat="1" ht="26.25">
      <c r="A59" s="39" t="s">
        <v>55</v>
      </c>
      <c r="B59" s="38">
        <v>202587</v>
      </c>
      <c r="C59" s="38">
        <v>202587</v>
      </c>
      <c r="D59" s="38">
        <v>203000</v>
      </c>
      <c r="E59" s="38">
        <f t="shared" si="4"/>
        <v>413</v>
      </c>
      <c r="F59" s="34">
        <f t="shared" si="5"/>
        <v>0.0020386303168515255</v>
      </c>
    </row>
    <row r="60" spans="1:6" s="100" customFormat="1" ht="26.25">
      <c r="A60" s="39" t="s">
        <v>56</v>
      </c>
      <c r="B60" s="38">
        <v>70176</v>
      </c>
      <c r="C60" s="38">
        <v>70176</v>
      </c>
      <c r="D60" s="38">
        <v>71095</v>
      </c>
      <c r="E60" s="38">
        <f t="shared" si="4"/>
        <v>919</v>
      </c>
      <c r="F60" s="34">
        <f t="shared" si="5"/>
        <v>0.01309564523483812</v>
      </c>
    </row>
    <row r="61" spans="1:6" s="100" customFormat="1" ht="26.25">
      <c r="A61" s="39" t="s">
        <v>57</v>
      </c>
      <c r="B61" s="38">
        <v>5760142</v>
      </c>
      <c r="C61" s="38">
        <v>5760142</v>
      </c>
      <c r="D61" s="38">
        <v>5907119</v>
      </c>
      <c r="E61" s="38">
        <f t="shared" si="4"/>
        <v>146977</v>
      </c>
      <c r="F61" s="34">
        <f t="shared" si="5"/>
        <v>0.025516211232292536</v>
      </c>
    </row>
    <row r="62" spans="1:6" s="100" customFormat="1" ht="26.25">
      <c r="A62" s="39" t="s">
        <v>58</v>
      </c>
      <c r="B62" s="38">
        <v>4924889</v>
      </c>
      <c r="C62" s="38">
        <v>4924889</v>
      </c>
      <c r="D62" s="38">
        <v>5300384</v>
      </c>
      <c r="E62" s="38">
        <f t="shared" si="4"/>
        <v>375495</v>
      </c>
      <c r="F62" s="34">
        <f t="shared" si="5"/>
        <v>0.0762443579946675</v>
      </c>
    </row>
    <row r="63" spans="1:6" s="100" customFormat="1" ht="26.25">
      <c r="A63" s="39" t="s">
        <v>59</v>
      </c>
      <c r="B63" s="38">
        <v>9441736</v>
      </c>
      <c r="C63" s="38">
        <v>9441736</v>
      </c>
      <c r="D63" s="38">
        <v>9850997</v>
      </c>
      <c r="E63" s="38">
        <f t="shared" si="4"/>
        <v>409261</v>
      </c>
      <c r="F63" s="34">
        <f t="shared" si="5"/>
        <v>0.04334594824511086</v>
      </c>
    </row>
    <row r="64" spans="1:6" s="100" customFormat="1" ht="26.25">
      <c r="A64" s="39" t="s">
        <v>60</v>
      </c>
      <c r="B64" s="38">
        <v>11255073</v>
      </c>
      <c r="C64" s="38">
        <v>11255073</v>
      </c>
      <c r="D64" s="38">
        <v>10614218</v>
      </c>
      <c r="E64" s="38">
        <f t="shared" si="4"/>
        <v>-640855</v>
      </c>
      <c r="F64" s="34">
        <f t="shared" si="5"/>
        <v>-0.05693921309972845</v>
      </c>
    </row>
    <row r="65" spans="1:6" s="100" customFormat="1" ht="26.25">
      <c r="A65" s="39" t="s">
        <v>61</v>
      </c>
      <c r="B65" s="38">
        <v>6112609</v>
      </c>
      <c r="C65" s="38">
        <v>6112609</v>
      </c>
      <c r="D65" s="38">
        <v>6564499</v>
      </c>
      <c r="E65" s="38">
        <f t="shared" si="4"/>
        <v>451890</v>
      </c>
      <c r="F65" s="34">
        <f t="shared" si="5"/>
        <v>0.07392751605738238</v>
      </c>
    </row>
    <row r="66" spans="1:6" s="102" customFormat="1" ht="26.25">
      <c r="A66" s="59" t="s">
        <v>62</v>
      </c>
      <c r="B66" s="44">
        <v>70866661</v>
      </c>
      <c r="C66" s="44">
        <v>72068966</v>
      </c>
      <c r="D66" s="44">
        <v>74719964</v>
      </c>
      <c r="E66" s="44">
        <f t="shared" si="4"/>
        <v>2650998</v>
      </c>
      <c r="F66" s="45">
        <f t="shared" si="5"/>
        <v>0.036784182528718394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129062</v>
      </c>
      <c r="C68" s="38">
        <v>129062</v>
      </c>
      <c r="D68" s="38">
        <v>172100</v>
      </c>
      <c r="E68" s="38">
        <f t="shared" si="4"/>
        <v>43038</v>
      </c>
      <c r="F68" s="34">
        <f t="shared" si="5"/>
        <v>0.33346763570996885</v>
      </c>
    </row>
    <row r="69" spans="1:6" s="100" customFormat="1" ht="26.25">
      <c r="A69" s="39" t="s">
        <v>65</v>
      </c>
      <c r="B69" s="38">
        <v>3869699</v>
      </c>
      <c r="C69" s="38">
        <v>3869699</v>
      </c>
      <c r="D69" s="38">
        <v>3869699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74865422</v>
      </c>
      <c r="C71" s="61">
        <v>76067727</v>
      </c>
      <c r="D71" s="61">
        <v>78761763</v>
      </c>
      <c r="E71" s="61">
        <f t="shared" si="4"/>
        <v>2694036</v>
      </c>
      <c r="F71" s="45">
        <f t="shared" si="5"/>
        <v>0.035416281072786625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35665389</v>
      </c>
      <c r="C74" s="33">
        <v>36607456</v>
      </c>
      <c r="D74" s="33">
        <v>37578321</v>
      </c>
      <c r="E74" s="29">
        <f aca="true" t="shared" si="6" ref="E74:E92">D74-C74</f>
        <v>970865</v>
      </c>
      <c r="F74" s="34">
        <f aca="true" t="shared" si="7" ref="F74:F92">IF(ISBLANK(E74),"  ",IF(C74&gt;0,E74/C74,IF(E74&gt;0,1,0)))</f>
        <v>0.02652096337970057</v>
      </c>
    </row>
    <row r="75" spans="1:6" s="100" customFormat="1" ht="26.25">
      <c r="A75" s="39" t="s">
        <v>70</v>
      </c>
      <c r="B75" s="36">
        <v>683257</v>
      </c>
      <c r="C75" s="36">
        <v>683257</v>
      </c>
      <c r="D75" s="36">
        <v>615873</v>
      </c>
      <c r="E75" s="38">
        <f t="shared" si="6"/>
        <v>-67384</v>
      </c>
      <c r="F75" s="34">
        <f t="shared" si="7"/>
        <v>-0.09862174847824465</v>
      </c>
    </row>
    <row r="76" spans="1:6" s="100" customFormat="1" ht="26.25">
      <c r="A76" s="39" t="s">
        <v>71</v>
      </c>
      <c r="B76" s="29">
        <v>15094050</v>
      </c>
      <c r="C76" s="29">
        <v>15354288</v>
      </c>
      <c r="D76" s="29">
        <v>17035039</v>
      </c>
      <c r="E76" s="38">
        <f t="shared" si="6"/>
        <v>1680751</v>
      </c>
      <c r="F76" s="34">
        <f t="shared" si="7"/>
        <v>0.10946460037743203</v>
      </c>
    </row>
    <row r="77" spans="1:6" s="102" customFormat="1" ht="26.25">
      <c r="A77" s="59" t="s">
        <v>72</v>
      </c>
      <c r="B77" s="61">
        <v>51442696</v>
      </c>
      <c r="C77" s="61">
        <v>52645001</v>
      </c>
      <c r="D77" s="61">
        <v>55229233</v>
      </c>
      <c r="E77" s="44">
        <f t="shared" si="6"/>
        <v>2584232</v>
      </c>
      <c r="F77" s="45">
        <f t="shared" si="7"/>
        <v>0.04908788965546795</v>
      </c>
    </row>
    <row r="78" spans="1:6" s="100" customFormat="1" ht="26.25">
      <c r="A78" s="39" t="s">
        <v>73</v>
      </c>
      <c r="B78" s="36">
        <v>259366</v>
      </c>
      <c r="C78" s="36">
        <v>259366</v>
      </c>
      <c r="D78" s="36">
        <v>390703</v>
      </c>
      <c r="E78" s="38">
        <f t="shared" si="6"/>
        <v>131337</v>
      </c>
      <c r="F78" s="34">
        <f t="shared" si="7"/>
        <v>0.5063770887471758</v>
      </c>
    </row>
    <row r="79" spans="1:6" s="100" customFormat="1" ht="26.25">
      <c r="A79" s="39" t="s">
        <v>74</v>
      </c>
      <c r="B79" s="33">
        <v>5843095</v>
      </c>
      <c r="C79" s="33">
        <v>5843095</v>
      </c>
      <c r="D79" s="33">
        <v>6612735</v>
      </c>
      <c r="E79" s="38">
        <f t="shared" si="6"/>
        <v>769640</v>
      </c>
      <c r="F79" s="34">
        <f t="shared" si="7"/>
        <v>0.13171786527516668</v>
      </c>
    </row>
    <row r="80" spans="1:6" s="100" customFormat="1" ht="26.25">
      <c r="A80" s="39" t="s">
        <v>75</v>
      </c>
      <c r="B80" s="29">
        <v>529151</v>
      </c>
      <c r="C80" s="29">
        <v>529151</v>
      </c>
      <c r="D80" s="29">
        <v>710900</v>
      </c>
      <c r="E80" s="38">
        <f t="shared" si="6"/>
        <v>181749</v>
      </c>
      <c r="F80" s="34">
        <f t="shared" si="7"/>
        <v>0.3434728461252081</v>
      </c>
    </row>
    <row r="81" spans="1:6" s="102" customFormat="1" ht="26.25">
      <c r="A81" s="42" t="s">
        <v>76</v>
      </c>
      <c r="B81" s="61">
        <v>6631612</v>
      </c>
      <c r="C81" s="61">
        <v>6631612</v>
      </c>
      <c r="D81" s="61">
        <v>7714338</v>
      </c>
      <c r="E81" s="44">
        <f t="shared" si="6"/>
        <v>1082726</v>
      </c>
      <c r="F81" s="45">
        <f t="shared" si="7"/>
        <v>0.16326739260378925</v>
      </c>
    </row>
    <row r="82" spans="1:6" s="100" customFormat="1" ht="26.25">
      <c r="A82" s="39" t="s">
        <v>77</v>
      </c>
      <c r="B82" s="29">
        <v>433931</v>
      </c>
      <c r="C82" s="29">
        <v>433931</v>
      </c>
      <c r="D82" s="29">
        <v>435413</v>
      </c>
      <c r="E82" s="38">
        <f t="shared" si="6"/>
        <v>1482</v>
      </c>
      <c r="F82" s="34">
        <f t="shared" si="7"/>
        <v>0.0034152895275977057</v>
      </c>
    </row>
    <row r="83" spans="1:6" s="100" customFormat="1" ht="26.25">
      <c r="A83" s="39" t="s">
        <v>78</v>
      </c>
      <c r="B83" s="38">
        <v>15465402</v>
      </c>
      <c r="C83" s="38">
        <v>15465402</v>
      </c>
      <c r="D83" s="38">
        <v>14913416</v>
      </c>
      <c r="E83" s="38">
        <f t="shared" si="6"/>
        <v>-551986</v>
      </c>
      <c r="F83" s="34">
        <f t="shared" si="7"/>
        <v>-0.03569166840926605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0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15899333</v>
      </c>
      <c r="C86" s="44">
        <v>15899333</v>
      </c>
      <c r="D86" s="44">
        <v>15348829</v>
      </c>
      <c r="E86" s="44">
        <f t="shared" si="6"/>
        <v>-550504</v>
      </c>
      <c r="F86" s="45">
        <f t="shared" si="7"/>
        <v>-0.03462434556216918</v>
      </c>
    </row>
    <row r="87" spans="1:6" s="100" customFormat="1" ht="26.25">
      <c r="A87" s="39" t="s">
        <v>82</v>
      </c>
      <c r="B87" s="38">
        <v>502180</v>
      </c>
      <c r="C87" s="38">
        <v>502180</v>
      </c>
      <c r="D87" s="38">
        <v>83200</v>
      </c>
      <c r="E87" s="38">
        <f t="shared" si="6"/>
        <v>-418980</v>
      </c>
      <c r="F87" s="34">
        <f t="shared" si="7"/>
        <v>-0.8343223545342308</v>
      </c>
    </row>
    <row r="88" spans="1:6" s="100" customFormat="1" ht="26.25">
      <c r="A88" s="39" t="s">
        <v>83</v>
      </c>
      <c r="B88" s="38">
        <v>344850</v>
      </c>
      <c r="C88" s="38">
        <v>344850</v>
      </c>
      <c r="D88" s="38">
        <v>386163</v>
      </c>
      <c r="E88" s="38">
        <f t="shared" si="6"/>
        <v>41313</v>
      </c>
      <c r="F88" s="34">
        <f t="shared" si="7"/>
        <v>0.11979991300565464</v>
      </c>
    </row>
    <row r="89" spans="1:6" s="100" customFormat="1" ht="26.25">
      <c r="A89" s="48" t="s">
        <v>84</v>
      </c>
      <c r="B89" s="38">
        <v>44751</v>
      </c>
      <c r="C89" s="38">
        <v>44751</v>
      </c>
      <c r="D89" s="38">
        <v>0</v>
      </c>
      <c r="E89" s="38">
        <f t="shared" si="6"/>
        <v>-44751</v>
      </c>
      <c r="F89" s="34">
        <f t="shared" si="7"/>
        <v>-1</v>
      </c>
    </row>
    <row r="90" spans="1:6" s="102" customFormat="1" ht="26.25">
      <c r="A90" s="62" t="s">
        <v>85</v>
      </c>
      <c r="B90" s="61">
        <v>891781</v>
      </c>
      <c r="C90" s="61">
        <v>891781</v>
      </c>
      <c r="D90" s="61">
        <v>469363</v>
      </c>
      <c r="E90" s="61">
        <f t="shared" si="6"/>
        <v>-422418</v>
      </c>
      <c r="F90" s="45">
        <f t="shared" si="7"/>
        <v>-0.4736790759166208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74865422</v>
      </c>
      <c r="C92" s="64">
        <v>76067727</v>
      </c>
      <c r="D92" s="64">
        <v>78761763</v>
      </c>
      <c r="E92" s="64">
        <f t="shared" si="6"/>
        <v>2694036</v>
      </c>
      <c r="F92" s="65">
        <f t="shared" si="7"/>
        <v>0.035416281072786625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35">
      <selection activeCell="B41" sqref="B41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102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26898731</v>
      </c>
      <c r="C8" s="33">
        <v>26898731</v>
      </c>
      <c r="D8" s="33">
        <v>27437909</v>
      </c>
      <c r="E8" s="33">
        <f aca="true" t="shared" si="0" ref="E8:E29">D8-C8</f>
        <v>539178</v>
      </c>
      <c r="F8" s="34">
        <f aca="true" t="shared" si="1" ref="F8:F29">IF(ISBLANK(E8),"  ",IF(C8&gt;0,E8/C8,IF(E8&gt;0,1,0)))</f>
        <v>0.02004473742646075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1895000</v>
      </c>
      <c r="C10" s="36">
        <v>2186349</v>
      </c>
      <c r="D10" s="36">
        <v>2120419</v>
      </c>
      <c r="E10" s="36">
        <f t="shared" si="0"/>
        <v>-65930</v>
      </c>
      <c r="F10" s="34">
        <f t="shared" si="1"/>
        <v>-0.030155295426302024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1895000</v>
      </c>
      <c r="C12" s="38">
        <v>2186349</v>
      </c>
      <c r="D12" s="38">
        <v>2120419</v>
      </c>
      <c r="E12" s="36">
        <f t="shared" si="0"/>
        <v>-65930</v>
      </c>
      <c r="F12" s="34">
        <f t="shared" si="1"/>
        <v>-0.030155295426302024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28793731</v>
      </c>
      <c r="C35" s="44">
        <v>29085080</v>
      </c>
      <c r="D35" s="44">
        <v>29558328</v>
      </c>
      <c r="E35" s="44">
        <f>D35-C35</f>
        <v>473248</v>
      </c>
      <c r="F35" s="45">
        <f>IF(ISBLANK(E35),"  ",IF(C35&gt;0,E35/C35,IF(E35&gt;0,1,0)))</f>
        <v>0.016271160333751877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87766073.39999999</v>
      </c>
      <c r="C48" s="50">
        <v>88072099</v>
      </c>
      <c r="D48" s="50">
        <v>90372098.53</v>
      </c>
      <c r="E48" s="50">
        <f>D48-C48</f>
        <v>2299999.530000001</v>
      </c>
      <c r="F48" s="45">
        <f>IF(ISBLANK(E48),"  ",IF(C48&gt;0,E48/C48,IF(E48&gt;0,1,0)))</f>
        <v>0.02611496212892577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116559804.39999999</v>
      </c>
      <c r="C54" s="50">
        <v>117157179</v>
      </c>
      <c r="D54" s="50">
        <v>119930426.53</v>
      </c>
      <c r="E54" s="50">
        <f>D54-C54</f>
        <v>2773247.530000001</v>
      </c>
      <c r="F54" s="45">
        <f>IF(ISBLANK(E54),"  ",IF(C54&gt;0,E54/C54,IF(E54&gt;0,1,0)))</f>
        <v>0.02367117024898663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54220645.410000004</v>
      </c>
      <c r="C58" s="29">
        <v>54437361</v>
      </c>
      <c r="D58" s="29">
        <v>58229444</v>
      </c>
      <c r="E58" s="29">
        <f aca="true" t="shared" si="4" ref="E58:E71">D58-C58</f>
        <v>3792083</v>
      </c>
      <c r="F58" s="34">
        <f aca="true" t="shared" si="5" ref="F58:F71">IF(ISBLANK(E58),"  ",IF(C58&gt;0,E58/C58,IF(E58&gt;0,1,0)))</f>
        <v>0.06965956707563396</v>
      </c>
    </row>
    <row r="59" spans="1:6" s="100" customFormat="1" ht="26.25">
      <c r="A59" s="39" t="s">
        <v>55</v>
      </c>
      <c r="B59" s="38">
        <v>422238.81</v>
      </c>
      <c r="C59" s="38">
        <v>427122</v>
      </c>
      <c r="D59" s="38">
        <v>429444</v>
      </c>
      <c r="E59" s="38">
        <f t="shared" si="4"/>
        <v>2322</v>
      </c>
      <c r="F59" s="34">
        <f t="shared" si="5"/>
        <v>0.0054363858569682665</v>
      </c>
    </row>
    <row r="60" spans="1:6" s="100" customFormat="1" ht="26.25">
      <c r="A60" s="39" t="s">
        <v>56</v>
      </c>
      <c r="B60" s="38">
        <v>1529355.37</v>
      </c>
      <c r="C60" s="38">
        <v>1603093</v>
      </c>
      <c r="D60" s="38">
        <v>1562967</v>
      </c>
      <c r="E60" s="38">
        <f t="shared" si="4"/>
        <v>-40126</v>
      </c>
      <c r="F60" s="34">
        <f t="shared" si="5"/>
        <v>-0.025030363179179248</v>
      </c>
    </row>
    <row r="61" spans="1:6" s="100" customFormat="1" ht="26.25">
      <c r="A61" s="39" t="s">
        <v>57</v>
      </c>
      <c r="B61" s="38">
        <v>10879012</v>
      </c>
      <c r="C61" s="38">
        <v>10972845</v>
      </c>
      <c r="D61" s="38">
        <v>10161467</v>
      </c>
      <c r="E61" s="38">
        <f t="shared" si="4"/>
        <v>-811378</v>
      </c>
      <c r="F61" s="34">
        <f t="shared" si="5"/>
        <v>-0.07394417764946101</v>
      </c>
    </row>
    <row r="62" spans="1:6" s="100" customFormat="1" ht="26.25">
      <c r="A62" s="39" t="s">
        <v>58</v>
      </c>
      <c r="B62" s="38">
        <v>6112656.37</v>
      </c>
      <c r="C62" s="38">
        <v>6162716</v>
      </c>
      <c r="D62" s="38">
        <v>6640467</v>
      </c>
      <c r="E62" s="38">
        <f t="shared" si="4"/>
        <v>477751</v>
      </c>
      <c r="F62" s="34">
        <f t="shared" si="5"/>
        <v>0.07752280001220241</v>
      </c>
    </row>
    <row r="63" spans="1:6" s="100" customFormat="1" ht="26.25">
      <c r="A63" s="39" t="s">
        <v>59</v>
      </c>
      <c r="B63" s="38">
        <v>12923424.32</v>
      </c>
      <c r="C63" s="38">
        <v>13003159</v>
      </c>
      <c r="D63" s="38">
        <v>13678914</v>
      </c>
      <c r="E63" s="38">
        <f t="shared" si="4"/>
        <v>675755</v>
      </c>
      <c r="F63" s="34">
        <f t="shared" si="5"/>
        <v>0.05196852549445869</v>
      </c>
    </row>
    <row r="64" spans="1:6" s="100" customFormat="1" ht="26.25">
      <c r="A64" s="39" t="s">
        <v>60</v>
      </c>
      <c r="B64" s="38">
        <v>12597864.72</v>
      </c>
      <c r="C64" s="38">
        <v>12597866</v>
      </c>
      <c r="D64" s="38">
        <v>13444621</v>
      </c>
      <c r="E64" s="38">
        <f t="shared" si="4"/>
        <v>846755</v>
      </c>
      <c r="F64" s="34">
        <f t="shared" si="5"/>
        <v>0.0672141615095763</v>
      </c>
    </row>
    <row r="65" spans="1:6" s="100" customFormat="1" ht="26.25">
      <c r="A65" s="39" t="s">
        <v>61</v>
      </c>
      <c r="B65" s="38">
        <v>14395529.1</v>
      </c>
      <c r="C65" s="38">
        <v>14473939</v>
      </c>
      <c r="D65" s="38">
        <v>12783792</v>
      </c>
      <c r="E65" s="38">
        <f t="shared" si="4"/>
        <v>-1690147</v>
      </c>
      <c r="F65" s="34">
        <f t="shared" si="5"/>
        <v>-0.11677173712007491</v>
      </c>
    </row>
    <row r="66" spans="1:6" s="102" customFormat="1" ht="26.25">
      <c r="A66" s="59" t="s">
        <v>62</v>
      </c>
      <c r="B66" s="44">
        <v>113080726.1</v>
      </c>
      <c r="C66" s="44">
        <v>113678101</v>
      </c>
      <c r="D66" s="44">
        <v>116931116</v>
      </c>
      <c r="E66" s="44">
        <f t="shared" si="4"/>
        <v>3253015</v>
      </c>
      <c r="F66" s="45">
        <f t="shared" si="5"/>
        <v>0.028616021655745286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3479078</v>
      </c>
      <c r="C69" s="38">
        <v>3479078</v>
      </c>
      <c r="D69" s="38">
        <v>2999311</v>
      </c>
      <c r="E69" s="38">
        <f t="shared" si="4"/>
        <v>-479767</v>
      </c>
      <c r="F69" s="34">
        <f t="shared" si="5"/>
        <v>-0.13790061619773974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116559804.1</v>
      </c>
      <c r="C71" s="61">
        <v>117157179</v>
      </c>
      <c r="D71" s="61">
        <v>119930427</v>
      </c>
      <c r="E71" s="61">
        <f t="shared" si="4"/>
        <v>2773248</v>
      </c>
      <c r="F71" s="45">
        <f t="shared" si="5"/>
        <v>0.02367117426069127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57507058.66</v>
      </c>
      <c r="C74" s="33">
        <v>57855533</v>
      </c>
      <c r="D74" s="33">
        <v>60420495</v>
      </c>
      <c r="E74" s="29">
        <f aca="true" t="shared" si="6" ref="E74:E92">D74-C74</f>
        <v>2564962</v>
      </c>
      <c r="F74" s="34">
        <f aca="true" t="shared" si="7" ref="F74:F92">IF(ISBLANK(E74),"  ",IF(C74&gt;0,E74/C74,IF(E74&gt;0,1,0)))</f>
        <v>0.04433391012057568</v>
      </c>
    </row>
    <row r="75" spans="1:6" s="100" customFormat="1" ht="26.25">
      <c r="A75" s="39" t="s">
        <v>70</v>
      </c>
      <c r="B75" s="36">
        <v>1453364.84</v>
      </c>
      <c r="C75" s="36">
        <v>1694337</v>
      </c>
      <c r="D75" s="36">
        <v>1503741</v>
      </c>
      <c r="E75" s="38">
        <f t="shared" si="6"/>
        <v>-190596</v>
      </c>
      <c r="F75" s="34">
        <f t="shared" si="7"/>
        <v>-0.11249001821951596</v>
      </c>
    </row>
    <row r="76" spans="1:6" s="100" customFormat="1" ht="26.25">
      <c r="A76" s="39" t="s">
        <v>71</v>
      </c>
      <c r="B76" s="29">
        <v>24546892.57</v>
      </c>
      <c r="C76" s="29">
        <v>24554826</v>
      </c>
      <c r="D76" s="29">
        <v>27060497</v>
      </c>
      <c r="E76" s="38">
        <f t="shared" si="6"/>
        <v>2505671</v>
      </c>
      <c r="F76" s="34">
        <f t="shared" si="7"/>
        <v>0.10204393221927127</v>
      </c>
    </row>
    <row r="77" spans="1:6" s="102" customFormat="1" ht="26.25">
      <c r="A77" s="59" t="s">
        <v>72</v>
      </c>
      <c r="B77" s="61">
        <v>83507316.07</v>
      </c>
      <c r="C77" s="61">
        <v>84104696</v>
      </c>
      <c r="D77" s="61">
        <v>88984733</v>
      </c>
      <c r="E77" s="44">
        <f t="shared" si="6"/>
        <v>4880037</v>
      </c>
      <c r="F77" s="45">
        <f t="shared" si="7"/>
        <v>0.05802335936152721</v>
      </c>
    </row>
    <row r="78" spans="1:6" s="100" customFormat="1" ht="26.25">
      <c r="A78" s="39" t="s">
        <v>73</v>
      </c>
      <c r="B78" s="36">
        <v>678415.1</v>
      </c>
      <c r="C78" s="36">
        <v>678404</v>
      </c>
      <c r="D78" s="36">
        <v>1087000</v>
      </c>
      <c r="E78" s="38">
        <f t="shared" si="6"/>
        <v>408596</v>
      </c>
      <c r="F78" s="34">
        <f t="shared" si="7"/>
        <v>0.6022900808367875</v>
      </c>
    </row>
    <row r="79" spans="1:6" s="100" customFormat="1" ht="26.25">
      <c r="A79" s="39" t="s">
        <v>74</v>
      </c>
      <c r="B79" s="33">
        <v>8646207.5</v>
      </c>
      <c r="C79" s="33">
        <v>8646213</v>
      </c>
      <c r="D79" s="33">
        <v>9004257</v>
      </c>
      <c r="E79" s="38">
        <f t="shared" si="6"/>
        <v>358044</v>
      </c>
      <c r="F79" s="34">
        <f t="shared" si="7"/>
        <v>0.041410499602542755</v>
      </c>
    </row>
    <row r="80" spans="1:6" s="100" customFormat="1" ht="26.25">
      <c r="A80" s="39" t="s">
        <v>75</v>
      </c>
      <c r="B80" s="29">
        <v>1886047.29</v>
      </c>
      <c r="C80" s="29">
        <v>1886044</v>
      </c>
      <c r="D80" s="29">
        <v>1716212</v>
      </c>
      <c r="E80" s="38">
        <f t="shared" si="6"/>
        <v>-169832</v>
      </c>
      <c r="F80" s="34">
        <f t="shared" si="7"/>
        <v>-0.0900466797169101</v>
      </c>
    </row>
    <row r="81" spans="1:6" s="102" customFormat="1" ht="26.25">
      <c r="A81" s="42" t="s">
        <v>76</v>
      </c>
      <c r="B81" s="61">
        <v>11210669.89</v>
      </c>
      <c r="C81" s="61">
        <v>11210661</v>
      </c>
      <c r="D81" s="61">
        <v>11807469</v>
      </c>
      <c r="E81" s="44">
        <f t="shared" si="6"/>
        <v>596808</v>
      </c>
      <c r="F81" s="45">
        <f t="shared" si="7"/>
        <v>0.05323575478734037</v>
      </c>
    </row>
    <row r="82" spans="1:6" s="100" customFormat="1" ht="26.25">
      <c r="A82" s="39" t="s">
        <v>77</v>
      </c>
      <c r="B82" s="29">
        <v>430131.42000000004</v>
      </c>
      <c r="C82" s="29">
        <v>430131</v>
      </c>
      <c r="D82" s="29">
        <v>473103</v>
      </c>
      <c r="E82" s="38">
        <f t="shared" si="6"/>
        <v>42972</v>
      </c>
      <c r="F82" s="34">
        <f t="shared" si="7"/>
        <v>0.09990444771476596</v>
      </c>
    </row>
    <row r="83" spans="1:6" s="100" customFormat="1" ht="26.25">
      <c r="A83" s="39" t="s">
        <v>78</v>
      </c>
      <c r="B83" s="38">
        <v>17025828.59</v>
      </c>
      <c r="C83" s="38">
        <v>17025830</v>
      </c>
      <c r="D83" s="38">
        <v>17540928</v>
      </c>
      <c r="E83" s="38">
        <f t="shared" si="6"/>
        <v>515098</v>
      </c>
      <c r="F83" s="34">
        <f t="shared" si="7"/>
        <v>0.030253914199777632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347646</v>
      </c>
      <c r="C85" s="38">
        <v>347646</v>
      </c>
      <c r="D85" s="38">
        <v>415345</v>
      </c>
      <c r="E85" s="38">
        <f t="shared" si="6"/>
        <v>67699</v>
      </c>
      <c r="F85" s="34">
        <f t="shared" si="7"/>
        <v>0.19473544927886413</v>
      </c>
    </row>
    <row r="86" spans="1:6" s="102" customFormat="1" ht="26.25">
      <c r="A86" s="42" t="s">
        <v>81</v>
      </c>
      <c r="B86" s="44">
        <v>17803606.01</v>
      </c>
      <c r="C86" s="44">
        <v>17803607</v>
      </c>
      <c r="D86" s="44">
        <v>18429376</v>
      </c>
      <c r="E86" s="44">
        <f t="shared" si="6"/>
        <v>625769</v>
      </c>
      <c r="F86" s="45">
        <f t="shared" si="7"/>
        <v>0.035148439302215555</v>
      </c>
    </row>
    <row r="87" spans="1:6" s="100" customFormat="1" ht="26.25">
      <c r="A87" s="39" t="s">
        <v>82</v>
      </c>
      <c r="B87" s="38">
        <v>819469.3500000001</v>
      </c>
      <c r="C87" s="38">
        <v>819472</v>
      </c>
      <c r="D87" s="38">
        <v>475985</v>
      </c>
      <c r="E87" s="38">
        <f t="shared" si="6"/>
        <v>-343487</v>
      </c>
      <c r="F87" s="34">
        <f t="shared" si="7"/>
        <v>-0.41915648124646115</v>
      </c>
    </row>
    <row r="88" spans="1:6" s="100" customFormat="1" ht="26.25">
      <c r="A88" s="39" t="s">
        <v>83</v>
      </c>
      <c r="B88" s="38">
        <v>1276653.18</v>
      </c>
      <c r="C88" s="38">
        <v>1276653</v>
      </c>
      <c r="D88" s="38">
        <v>98368</v>
      </c>
      <c r="E88" s="38">
        <f t="shared" si="6"/>
        <v>-1178285</v>
      </c>
      <c r="F88" s="34">
        <f t="shared" si="7"/>
        <v>-0.9229485224254359</v>
      </c>
    </row>
    <row r="89" spans="1:6" s="100" customFormat="1" ht="26.25">
      <c r="A89" s="48" t="s">
        <v>84</v>
      </c>
      <c r="B89" s="38">
        <v>1942089.6</v>
      </c>
      <c r="C89" s="38">
        <v>1942090</v>
      </c>
      <c r="D89" s="38">
        <v>134496</v>
      </c>
      <c r="E89" s="38">
        <f t="shared" si="6"/>
        <v>-1807594</v>
      </c>
      <c r="F89" s="34">
        <f t="shared" si="7"/>
        <v>-0.9307467728066156</v>
      </c>
    </row>
    <row r="90" spans="1:6" s="102" customFormat="1" ht="26.25">
      <c r="A90" s="62" t="s">
        <v>85</v>
      </c>
      <c r="B90" s="61">
        <v>4038212.13</v>
      </c>
      <c r="C90" s="61">
        <v>4038215</v>
      </c>
      <c r="D90" s="61">
        <v>708849</v>
      </c>
      <c r="E90" s="61">
        <f t="shared" si="6"/>
        <v>-3329366</v>
      </c>
      <c r="F90" s="45">
        <f t="shared" si="7"/>
        <v>-0.8244647697064174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116559804.1</v>
      </c>
      <c r="C92" s="64">
        <v>117157179</v>
      </c>
      <c r="D92" s="64">
        <v>119930427</v>
      </c>
      <c r="E92" s="64">
        <f t="shared" si="6"/>
        <v>2773248</v>
      </c>
      <c r="F92" s="65">
        <f t="shared" si="7"/>
        <v>0.02367117426069127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50" t="s">
        <v>128</v>
      </c>
      <c r="E1" s="98"/>
      <c r="F1" s="96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43178690</v>
      </c>
      <c r="C8" s="33">
        <v>43178690</v>
      </c>
      <c r="D8" s="33">
        <v>45215717</v>
      </c>
      <c r="E8" s="33">
        <f aca="true" t="shared" si="0" ref="E8:E29">D8-C8</f>
        <v>2037027</v>
      </c>
      <c r="F8" s="34">
        <f aca="true" t="shared" si="1" ref="F8:F29">IF(ISBLANK(E8),"  ",IF(C8&gt;0,E8/C8,IF(E8&gt;0,1,0)))</f>
        <v>0.047176674419719546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2441034</v>
      </c>
      <c r="C10" s="36">
        <v>2816334</v>
      </c>
      <c r="D10" s="36">
        <v>2731406</v>
      </c>
      <c r="E10" s="36">
        <f t="shared" si="0"/>
        <v>-84928</v>
      </c>
      <c r="F10" s="34">
        <f t="shared" si="1"/>
        <v>-0.030155514225230388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2441034</v>
      </c>
      <c r="C12" s="38">
        <v>2816334</v>
      </c>
      <c r="D12" s="38">
        <v>2731406</v>
      </c>
      <c r="E12" s="36">
        <f t="shared" si="0"/>
        <v>-84928</v>
      </c>
      <c r="F12" s="34">
        <f t="shared" si="1"/>
        <v>-0.030155514225230388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45619724</v>
      </c>
      <c r="C35" s="44">
        <v>45995024</v>
      </c>
      <c r="D35" s="44">
        <v>47947123</v>
      </c>
      <c r="E35" s="44">
        <f>D35-C35</f>
        <v>1952099</v>
      </c>
      <c r="F35" s="45">
        <f>IF(ISBLANK(E35),"  ",IF(C35&gt;0,E35/C35,IF(E35&gt;0,1,0)))</f>
        <v>0.04244152584853527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185000</v>
      </c>
      <c r="C44" s="52">
        <v>185000</v>
      </c>
      <c r="D44" s="52">
        <v>0</v>
      </c>
      <c r="E44" s="52">
        <f>D44-C44</f>
        <v>-185000</v>
      </c>
      <c r="F44" s="45">
        <f>IF(ISBLANK(E44),"  ",IF(C44&gt;0,E44/C44,IF(E44&gt;0,1,0)))</f>
        <v>-1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119939525</v>
      </c>
      <c r="C48" s="50">
        <v>119939525</v>
      </c>
      <c r="D48" s="50">
        <v>126939525</v>
      </c>
      <c r="E48" s="50">
        <f>D48-C48</f>
        <v>7000000</v>
      </c>
      <c r="F48" s="45">
        <f>IF(ISBLANK(E48),"  ",IF(C48&gt;0,E48/C48,IF(E48&gt;0,1,0)))</f>
        <v>0.05836274572539786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165744249</v>
      </c>
      <c r="C54" s="50">
        <v>166119549</v>
      </c>
      <c r="D54" s="50">
        <v>174886648</v>
      </c>
      <c r="E54" s="50">
        <f>D54-C54</f>
        <v>8767099</v>
      </c>
      <c r="F54" s="45">
        <f>IF(ISBLANK(E54),"  ",IF(C54&gt;0,E54/C54,IF(E54&gt;0,1,0)))</f>
        <v>0.05277584157178274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72780325</v>
      </c>
      <c r="C58" s="29">
        <v>71925749</v>
      </c>
      <c r="D58" s="29">
        <v>79252660</v>
      </c>
      <c r="E58" s="29">
        <f aca="true" t="shared" si="4" ref="E58:E71">D58-C58</f>
        <v>7326911</v>
      </c>
      <c r="F58" s="34">
        <f aca="true" t="shared" si="5" ref="F58:F71">IF(ISBLANK(E58),"  ",IF(C58&gt;0,E58/C58,IF(E58&gt;0,1,0)))</f>
        <v>0.10186770526366017</v>
      </c>
    </row>
    <row r="59" spans="1:6" s="100" customFormat="1" ht="26.25">
      <c r="A59" s="39" t="s">
        <v>55</v>
      </c>
      <c r="B59" s="38">
        <v>9603888</v>
      </c>
      <c r="C59" s="38">
        <v>13034389</v>
      </c>
      <c r="D59" s="38">
        <v>9493911</v>
      </c>
      <c r="E59" s="38">
        <f t="shared" si="4"/>
        <v>-3540478</v>
      </c>
      <c r="F59" s="34">
        <f t="shared" si="5"/>
        <v>-0.2716259273833242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15659412</v>
      </c>
      <c r="C61" s="38">
        <v>17237335</v>
      </c>
      <c r="D61" s="38">
        <v>17749220</v>
      </c>
      <c r="E61" s="38">
        <f t="shared" si="4"/>
        <v>511885</v>
      </c>
      <c r="F61" s="34">
        <f t="shared" si="5"/>
        <v>0.029696295860119907</v>
      </c>
    </row>
    <row r="62" spans="1:6" s="100" customFormat="1" ht="26.25">
      <c r="A62" s="39" t="s">
        <v>58</v>
      </c>
      <c r="B62" s="38">
        <v>7923550</v>
      </c>
      <c r="C62" s="38">
        <v>8017230</v>
      </c>
      <c r="D62" s="38">
        <v>8950819</v>
      </c>
      <c r="E62" s="38">
        <f t="shared" si="4"/>
        <v>933589</v>
      </c>
      <c r="F62" s="34">
        <f t="shared" si="5"/>
        <v>0.11644782549583833</v>
      </c>
    </row>
    <row r="63" spans="1:6" s="100" customFormat="1" ht="26.25">
      <c r="A63" s="39" t="s">
        <v>59</v>
      </c>
      <c r="B63" s="38">
        <v>29033817</v>
      </c>
      <c r="C63" s="38">
        <v>27107459</v>
      </c>
      <c r="D63" s="38">
        <v>28744769</v>
      </c>
      <c r="E63" s="38">
        <f t="shared" si="4"/>
        <v>1637310</v>
      </c>
      <c r="F63" s="34">
        <f t="shared" si="5"/>
        <v>0.06040071848859017</v>
      </c>
    </row>
    <row r="64" spans="1:6" s="100" customFormat="1" ht="26.25">
      <c r="A64" s="39" t="s">
        <v>60</v>
      </c>
      <c r="B64" s="38">
        <v>16314695</v>
      </c>
      <c r="C64" s="38">
        <v>14447541</v>
      </c>
      <c r="D64" s="38">
        <v>17195184</v>
      </c>
      <c r="E64" s="38">
        <f t="shared" si="4"/>
        <v>2747643</v>
      </c>
      <c r="F64" s="34">
        <f t="shared" si="5"/>
        <v>0.19018066811507925</v>
      </c>
    </row>
    <row r="65" spans="1:6" s="100" customFormat="1" ht="26.25">
      <c r="A65" s="39" t="s">
        <v>61</v>
      </c>
      <c r="B65" s="38">
        <v>13889188</v>
      </c>
      <c r="C65" s="38">
        <v>13900326</v>
      </c>
      <c r="D65" s="38">
        <v>13026711</v>
      </c>
      <c r="E65" s="38">
        <f t="shared" si="4"/>
        <v>-873615</v>
      </c>
      <c r="F65" s="34">
        <f t="shared" si="5"/>
        <v>-0.06284852599859889</v>
      </c>
    </row>
    <row r="66" spans="1:6" s="102" customFormat="1" ht="26.25">
      <c r="A66" s="59" t="s">
        <v>62</v>
      </c>
      <c r="B66" s="44">
        <v>165204875</v>
      </c>
      <c r="C66" s="44">
        <v>165670029</v>
      </c>
      <c r="D66" s="44">
        <v>174413274</v>
      </c>
      <c r="E66" s="44">
        <f t="shared" si="4"/>
        <v>8743245</v>
      </c>
      <c r="F66" s="45">
        <f t="shared" si="5"/>
        <v>0.05277505564992688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539374</v>
      </c>
      <c r="C68" s="38">
        <v>449520</v>
      </c>
      <c r="D68" s="38">
        <v>473374</v>
      </c>
      <c r="E68" s="38">
        <f t="shared" si="4"/>
        <v>23854</v>
      </c>
      <c r="F68" s="34">
        <f t="shared" si="5"/>
        <v>0.05306549208044136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165744249</v>
      </c>
      <c r="C71" s="61">
        <v>166119549</v>
      </c>
      <c r="D71" s="61">
        <v>174886648</v>
      </c>
      <c r="E71" s="61">
        <f t="shared" si="4"/>
        <v>8767099</v>
      </c>
      <c r="F71" s="45">
        <f t="shared" si="5"/>
        <v>0.05277584157178274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94139350</v>
      </c>
      <c r="C74" s="33">
        <v>94647979</v>
      </c>
      <c r="D74" s="33">
        <v>98988101</v>
      </c>
      <c r="E74" s="29">
        <f aca="true" t="shared" si="6" ref="E74:E92">D74-C74</f>
        <v>4340122</v>
      </c>
      <c r="F74" s="34">
        <f aca="true" t="shared" si="7" ref="F74:F92">IF(ISBLANK(E74),"  ",IF(C74&gt;0,E74/C74,IF(E74&gt;0,1,0)))</f>
        <v>0.045855411239155985</v>
      </c>
    </row>
    <row r="75" spans="1:6" s="100" customFormat="1" ht="26.25">
      <c r="A75" s="39" t="s">
        <v>70</v>
      </c>
      <c r="B75" s="36">
        <v>1686446</v>
      </c>
      <c r="C75" s="36">
        <v>1622872</v>
      </c>
      <c r="D75" s="36">
        <v>2007559</v>
      </c>
      <c r="E75" s="38">
        <f t="shared" si="6"/>
        <v>384687</v>
      </c>
      <c r="F75" s="34">
        <f t="shared" si="7"/>
        <v>0.23704087568212404</v>
      </c>
    </row>
    <row r="76" spans="1:6" s="100" customFormat="1" ht="26.25">
      <c r="A76" s="39" t="s">
        <v>71</v>
      </c>
      <c r="B76" s="29">
        <v>35988228</v>
      </c>
      <c r="C76" s="29">
        <v>37920131</v>
      </c>
      <c r="D76" s="29">
        <v>39172814</v>
      </c>
      <c r="E76" s="38">
        <f t="shared" si="6"/>
        <v>1252683</v>
      </c>
      <c r="F76" s="34">
        <f t="shared" si="7"/>
        <v>0.03303477511720621</v>
      </c>
    </row>
    <row r="77" spans="1:6" s="102" customFormat="1" ht="26.25">
      <c r="A77" s="59" t="s">
        <v>72</v>
      </c>
      <c r="B77" s="61">
        <v>131814024</v>
      </c>
      <c r="C77" s="61">
        <v>134190982</v>
      </c>
      <c r="D77" s="61">
        <v>140168474</v>
      </c>
      <c r="E77" s="44">
        <f t="shared" si="6"/>
        <v>5977492</v>
      </c>
      <c r="F77" s="45">
        <f t="shared" si="7"/>
        <v>0.04454466247217716</v>
      </c>
    </row>
    <row r="78" spans="1:6" s="100" customFormat="1" ht="26.25">
      <c r="A78" s="39" t="s">
        <v>73</v>
      </c>
      <c r="B78" s="36">
        <v>378540</v>
      </c>
      <c r="C78" s="36">
        <v>462004</v>
      </c>
      <c r="D78" s="36">
        <v>524204</v>
      </c>
      <c r="E78" s="38">
        <f t="shared" si="6"/>
        <v>62200</v>
      </c>
      <c r="F78" s="34">
        <f t="shared" si="7"/>
        <v>0.1346308689968052</v>
      </c>
    </row>
    <row r="79" spans="1:6" s="100" customFormat="1" ht="26.25">
      <c r="A79" s="39" t="s">
        <v>74</v>
      </c>
      <c r="B79" s="33">
        <v>13238565</v>
      </c>
      <c r="C79" s="33">
        <v>13234852</v>
      </c>
      <c r="D79" s="33">
        <v>12672936</v>
      </c>
      <c r="E79" s="38">
        <f t="shared" si="6"/>
        <v>-561916</v>
      </c>
      <c r="F79" s="34">
        <f t="shared" si="7"/>
        <v>-0.042457293817868155</v>
      </c>
    </row>
    <row r="80" spans="1:6" s="100" customFormat="1" ht="26.25">
      <c r="A80" s="39" t="s">
        <v>75</v>
      </c>
      <c r="B80" s="29">
        <v>1847808</v>
      </c>
      <c r="C80" s="29">
        <v>1840746</v>
      </c>
      <c r="D80" s="29">
        <v>2070224</v>
      </c>
      <c r="E80" s="38">
        <f t="shared" si="6"/>
        <v>229478</v>
      </c>
      <c r="F80" s="34">
        <f t="shared" si="7"/>
        <v>0.12466576051231402</v>
      </c>
    </row>
    <row r="81" spans="1:6" s="102" customFormat="1" ht="26.25">
      <c r="A81" s="42" t="s">
        <v>76</v>
      </c>
      <c r="B81" s="61">
        <v>15464913</v>
      </c>
      <c r="C81" s="61">
        <v>15537602</v>
      </c>
      <c r="D81" s="61">
        <v>15267364</v>
      </c>
      <c r="E81" s="44">
        <f t="shared" si="6"/>
        <v>-270238</v>
      </c>
      <c r="F81" s="45">
        <f t="shared" si="7"/>
        <v>-0.01739251655435633</v>
      </c>
    </row>
    <row r="82" spans="1:6" s="100" customFormat="1" ht="26.25">
      <c r="A82" s="39" t="s">
        <v>77</v>
      </c>
      <c r="B82" s="29">
        <v>795866</v>
      </c>
      <c r="C82" s="29">
        <v>609689</v>
      </c>
      <c r="D82" s="29">
        <v>924058</v>
      </c>
      <c r="E82" s="38">
        <f t="shared" si="6"/>
        <v>314369</v>
      </c>
      <c r="F82" s="34">
        <f t="shared" si="7"/>
        <v>0.5156218990337696</v>
      </c>
    </row>
    <row r="83" spans="1:6" s="100" customFormat="1" ht="26.25">
      <c r="A83" s="39" t="s">
        <v>78</v>
      </c>
      <c r="B83" s="38">
        <v>17130072</v>
      </c>
      <c r="C83" s="38">
        <v>14747678</v>
      </c>
      <c r="D83" s="38">
        <v>17519300</v>
      </c>
      <c r="E83" s="38">
        <f t="shared" si="6"/>
        <v>2771622</v>
      </c>
      <c r="F83" s="34">
        <f t="shared" si="7"/>
        <v>0.1879361618825689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539374</v>
      </c>
      <c r="C85" s="38">
        <v>449520</v>
      </c>
      <c r="D85" s="38">
        <v>473374</v>
      </c>
      <c r="E85" s="38">
        <f t="shared" si="6"/>
        <v>23854</v>
      </c>
      <c r="F85" s="34">
        <f t="shared" si="7"/>
        <v>0.05306549208044136</v>
      </c>
    </row>
    <row r="86" spans="1:6" s="102" customFormat="1" ht="26.25">
      <c r="A86" s="42" t="s">
        <v>81</v>
      </c>
      <c r="B86" s="44">
        <v>18465312</v>
      </c>
      <c r="C86" s="44">
        <v>15806887</v>
      </c>
      <c r="D86" s="44">
        <v>18916732</v>
      </c>
      <c r="E86" s="44">
        <f t="shared" si="6"/>
        <v>3109845</v>
      </c>
      <c r="F86" s="45">
        <f t="shared" si="7"/>
        <v>0.19673987673853807</v>
      </c>
    </row>
    <row r="87" spans="1:6" s="100" customFormat="1" ht="26.25">
      <c r="A87" s="39" t="s">
        <v>82</v>
      </c>
      <c r="B87" s="38">
        <v>0</v>
      </c>
      <c r="C87" s="38">
        <v>92000</v>
      </c>
      <c r="D87" s="38">
        <v>42000</v>
      </c>
      <c r="E87" s="38">
        <f t="shared" si="6"/>
        <v>-50000</v>
      </c>
      <c r="F87" s="34">
        <f t="shared" si="7"/>
        <v>-0.5434782608695652</v>
      </c>
    </row>
    <row r="88" spans="1:6" s="100" customFormat="1" ht="26.25">
      <c r="A88" s="39" t="s">
        <v>83</v>
      </c>
      <c r="B88" s="38">
        <v>0</v>
      </c>
      <c r="C88" s="38">
        <v>492078</v>
      </c>
      <c r="D88" s="38">
        <v>492078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0</v>
      </c>
      <c r="C90" s="61">
        <v>584078</v>
      </c>
      <c r="D90" s="61">
        <v>534078</v>
      </c>
      <c r="E90" s="61">
        <f t="shared" si="6"/>
        <v>-50000</v>
      </c>
      <c r="F90" s="45">
        <f t="shared" si="7"/>
        <v>-0.08560500481100126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165744249</v>
      </c>
      <c r="C92" s="64">
        <v>166119549</v>
      </c>
      <c r="D92" s="64">
        <v>174886648</v>
      </c>
      <c r="E92" s="64">
        <f t="shared" si="6"/>
        <v>8767099</v>
      </c>
      <c r="F92" s="65">
        <f t="shared" si="7"/>
        <v>0.05277584157178274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93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LSUE!B8+SUSLA!B8+'LCTCS Summary'!B8-LCTCBoard!B8-Online!B8</f>
        <v>115722238</v>
      </c>
      <c r="C8" s="33">
        <f>LSUE!C8+SUSLA!C8+'LCTCS Summary'!C8-LCTCBoard!C8-Online!C8</f>
        <v>115722238</v>
      </c>
      <c r="D8" s="33">
        <f>LSUE!D8+SUSLA!D8+'LCTCS Summary'!D8-LCTCBoard!D8-Online!D8</f>
        <v>118508529</v>
      </c>
      <c r="E8" s="33">
        <f aca="true" t="shared" si="0" ref="E8:E29">D8-C8</f>
        <v>2786291</v>
      </c>
      <c r="F8" s="34">
        <f aca="true" t="shared" si="1" ref="F8:F29">IF(ISBLANK(E8),"  ",IF(C8&gt;0,E8/C8,IF(E8&gt;0,1,0)))</f>
        <v>0.024077403342303145</v>
      </c>
    </row>
    <row r="9" spans="1:6" s="24" customFormat="1" ht="26.25">
      <c r="A9" s="32" t="s">
        <v>13</v>
      </c>
      <c r="B9" s="33">
        <f>LSUE!B9+SUSLA!B9+'LCTCS Summary'!B9-LCTCBoard!B9-Online!B9</f>
        <v>0</v>
      </c>
      <c r="C9" s="33">
        <f>LSUE!C9+SUSLA!C9+'LCTCS Summary'!C9-LCTCBoard!C9-Online!C9</f>
        <v>0</v>
      </c>
      <c r="D9" s="33">
        <f>LSUE!D9+SUSLA!D9+'LCTCS Summary'!D9-LCTCBoard!D9-Online!D9</f>
        <v>0</v>
      </c>
      <c r="E9" s="33">
        <f t="shared" si="0"/>
        <v>0</v>
      </c>
      <c r="F9" s="34">
        <f t="shared" si="1"/>
        <v>0</v>
      </c>
    </row>
    <row r="10" spans="1:6" s="24" customFormat="1" ht="26.25">
      <c r="A10" s="35" t="s">
        <v>14</v>
      </c>
      <c r="B10" s="33">
        <f>LSUE!B10+SUSLA!B10+'LCTCS Summary'!B10-LCTCBoard!B10-Online!B10</f>
        <v>6009156.710000001</v>
      </c>
      <c r="C10" s="33">
        <f>LSUE!C10+SUSLA!C10+'LCTCS Summary'!C10-LCTCBoard!C10-Online!C10</f>
        <v>6798074.18</v>
      </c>
      <c r="D10" s="33">
        <f>LSUE!D10+SUSLA!D10+'LCTCS Summary'!D10-LCTCBoard!D10-Online!D10</f>
        <v>6519168</v>
      </c>
      <c r="E10" s="33">
        <f t="shared" si="0"/>
        <v>-278906.1799999997</v>
      </c>
      <c r="F10" s="34">
        <f t="shared" si="1"/>
        <v>-0.04102723398055061</v>
      </c>
    </row>
    <row r="11" spans="1:6" s="24" customFormat="1" ht="26.25">
      <c r="A11" s="37" t="s">
        <v>15</v>
      </c>
      <c r="B11" s="33">
        <f>LSUE!B11+SUSLA!B11+'LCTCS Summary'!B11-LCTCBoard!B11-Online!B11</f>
        <v>0</v>
      </c>
      <c r="C11" s="33">
        <f>LSUE!C11+SUSLA!C11+'LCTCS Summary'!C11-LCTCBoard!C11-Online!C11</f>
        <v>0</v>
      </c>
      <c r="D11" s="33">
        <f>LSUE!D11+SUSLA!D11+'LCTCS Summary'!D11-LCTCBoard!D11-Online!D11</f>
        <v>0</v>
      </c>
      <c r="E11" s="33">
        <f t="shared" si="0"/>
        <v>0</v>
      </c>
      <c r="F11" s="34">
        <f t="shared" si="1"/>
        <v>0</v>
      </c>
    </row>
    <row r="12" spans="1:6" s="24" customFormat="1" ht="26.25">
      <c r="A12" s="39" t="s">
        <v>16</v>
      </c>
      <c r="B12" s="33">
        <f>LSUE!B12+SUSLA!B12+'LCTCS Summary'!B12-LCTCBoard!B12-Online!B12</f>
        <v>5121620.71</v>
      </c>
      <c r="C12" s="33">
        <f>LSUE!C12+SUSLA!C12+'LCTCS Summary'!C12-LCTCBoard!C12-Online!C12</f>
        <v>5910538.18</v>
      </c>
      <c r="D12" s="33">
        <f>LSUE!D12+SUSLA!D12+'LCTCS Summary'!D12-LCTCBoard!D12-Online!D12</f>
        <v>5732304</v>
      </c>
      <c r="E12" s="33">
        <f t="shared" si="0"/>
        <v>-178234.1799999997</v>
      </c>
      <c r="F12" s="34">
        <f t="shared" si="1"/>
        <v>-0.03015532165972739</v>
      </c>
    </row>
    <row r="13" spans="1:6" s="24" customFormat="1" ht="26.25">
      <c r="A13" s="39" t="s">
        <v>17</v>
      </c>
      <c r="B13" s="33">
        <f>LSUE!B13+SUSLA!B13+'LCTCS Summary'!B13-LCTCBoard!B13-Online!B13</f>
        <v>0</v>
      </c>
      <c r="C13" s="33">
        <f>LSUE!C13+SUSLA!C13+'LCTCS Summary'!C13-LCTCBoard!C13-Online!C13</f>
        <v>0</v>
      </c>
      <c r="D13" s="33">
        <f>LSUE!D13+SUSLA!D13+'LCTCS Summary'!D13-LCTCBoard!D13-Online!D13</f>
        <v>0</v>
      </c>
      <c r="E13" s="33">
        <f t="shared" si="0"/>
        <v>0</v>
      </c>
      <c r="F13" s="34">
        <f t="shared" si="1"/>
        <v>0</v>
      </c>
    </row>
    <row r="14" spans="1:6" s="24" customFormat="1" ht="26.25">
      <c r="A14" s="39" t="s">
        <v>18</v>
      </c>
      <c r="B14" s="33">
        <f>LSUE!B14+SUSLA!B14+'LCTCS Summary'!B14-LCTCBoard!B14-Online!B14</f>
        <v>132411</v>
      </c>
      <c r="C14" s="33">
        <f>LSUE!C14+SUSLA!C14+'LCTCS Summary'!C14-LCTCBoard!C14-Online!C14</f>
        <v>132411</v>
      </c>
      <c r="D14" s="33">
        <f>LSUE!D14+SUSLA!D14+'LCTCS Summary'!D14-LCTCBoard!D14-Online!D14</f>
        <v>130811</v>
      </c>
      <c r="E14" s="33">
        <f t="shared" si="0"/>
        <v>-1600</v>
      </c>
      <c r="F14" s="34">
        <f t="shared" si="1"/>
        <v>-0.012083588221522381</v>
      </c>
    </row>
    <row r="15" spans="1:6" s="24" customFormat="1" ht="26.25">
      <c r="A15" s="39" t="s">
        <v>19</v>
      </c>
      <c r="B15" s="33">
        <f>LSUE!B15+SUSLA!B15+'LCTCS Summary'!B15-LCTCBoard!B15-Online!B15</f>
        <v>435225</v>
      </c>
      <c r="C15" s="33">
        <f>LSUE!C15+SUSLA!C15+'LCTCS Summary'!C15-LCTCBoard!C15-Online!C15</f>
        <v>435225</v>
      </c>
      <c r="D15" s="33">
        <f>LSUE!D15+SUSLA!D15+'LCTCS Summary'!D15-LCTCBoard!D15-Online!D15</f>
        <v>357773</v>
      </c>
      <c r="E15" s="33">
        <f t="shared" si="0"/>
        <v>-77452</v>
      </c>
      <c r="F15" s="34">
        <f t="shared" si="1"/>
        <v>-0.17795852719857544</v>
      </c>
    </row>
    <row r="16" spans="1:6" s="24" customFormat="1" ht="26.25">
      <c r="A16" s="39" t="s">
        <v>20</v>
      </c>
      <c r="B16" s="33">
        <f>LSUE!B16+SUSLA!B16+'LCTCS Summary'!B16-LCTCBoard!B16-Online!B16</f>
        <v>0</v>
      </c>
      <c r="C16" s="33">
        <f>LSUE!C16+SUSLA!C16+'LCTCS Summary'!C16-LCTCBoard!C16-Online!C16</f>
        <v>0</v>
      </c>
      <c r="D16" s="33">
        <f>LSUE!D16+SUSLA!D16+'LCTCS Summary'!D16-LCTCBoard!D16-Online!D16</f>
        <v>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LSUE!B17+SUSLA!B17+'LCTCS Summary'!B17-LCTCBoard!B17-Online!B17</f>
        <v>0</v>
      </c>
      <c r="C17" s="33">
        <f>LSUE!C17+SUSLA!C17+'LCTCS Summary'!C17-LCTCBoard!C17-Online!C17</f>
        <v>0</v>
      </c>
      <c r="D17" s="33">
        <f>LSUE!D17+SUSLA!D17+'LCTCS Summary'!D17-LCTCBoard!D17-Online!D17</f>
        <v>0</v>
      </c>
      <c r="E17" s="33">
        <f t="shared" si="0"/>
        <v>0</v>
      </c>
      <c r="F17" s="34">
        <f t="shared" si="1"/>
        <v>0</v>
      </c>
    </row>
    <row r="18" spans="1:6" s="24" customFormat="1" ht="26.25">
      <c r="A18" s="39" t="s">
        <v>22</v>
      </c>
      <c r="B18" s="33">
        <f>LSUE!B18+SUSLA!B18+'LCTCS Summary'!B18-LCTCBoard!B18-Online!B18</f>
        <v>0</v>
      </c>
      <c r="C18" s="33">
        <f>LSUE!C18+SUSLA!C18+'LCTCS Summary'!C18-LCTCBoard!C18-Online!C18</f>
        <v>0</v>
      </c>
      <c r="D18" s="33">
        <f>LSUE!D18+SUSLA!D18+'LCTCS Summary'!D18-LCTCBoard!D18-Online!D18</f>
        <v>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LSUE!B19+SUSLA!B19+'LCTCS Summary'!B19-LCTCBoard!B19-Online!B19</f>
        <v>0</v>
      </c>
      <c r="C19" s="33">
        <f>LSUE!C19+SUSLA!C19+'LCTCS Summary'!C19-LCTCBoard!C19-Online!C19</f>
        <v>0</v>
      </c>
      <c r="D19" s="33">
        <f>LSUE!D19+SUSLA!D19+'LCTCS Summary'!D19-LCTCBoard!D19-Online!D19</f>
        <v>0</v>
      </c>
      <c r="E19" s="33">
        <f t="shared" si="0"/>
        <v>0</v>
      </c>
      <c r="F19" s="34">
        <f t="shared" si="1"/>
        <v>0</v>
      </c>
    </row>
    <row r="20" spans="1:6" s="24" customFormat="1" ht="26.25">
      <c r="A20" s="39" t="s">
        <v>24</v>
      </c>
      <c r="B20" s="33">
        <f>LSUE!B20+SUSLA!B20+'LCTCS Summary'!B20-LCTCBoard!B20-Online!B20</f>
        <v>0</v>
      </c>
      <c r="C20" s="33">
        <f>LSUE!C20+SUSLA!C20+'LCTCS Summary'!C20-LCTCBoard!C20-Online!C20</f>
        <v>0</v>
      </c>
      <c r="D20" s="33">
        <f>LSUE!D20+SUSLA!D20+'LCTCS Summary'!D20-LCTCBoard!D20-Online!D20</f>
        <v>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LSUE!B21+SUSLA!B21+'LCTCS Summary'!B21-LCTCBoard!B21-Online!B21</f>
        <v>0</v>
      </c>
      <c r="C21" s="33">
        <f>LSUE!C21+SUSLA!C21+'LCTCS Summary'!C21-LCTCBoard!C21-Online!C21</f>
        <v>0</v>
      </c>
      <c r="D21" s="33">
        <f>LSUE!D21+SUSLA!D21+'LCTCS Summary'!D21-LCTCBoard!D21-Online!D21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LSUE!B22+SUSLA!B22+'LCTCS Summary'!B22-LCTCBoard!B22-Online!B22</f>
        <v>0</v>
      </c>
      <c r="C22" s="33">
        <f>LSUE!C22+SUSLA!C22+'LCTCS Summary'!C22-LCTCBoard!C22-Online!C22</f>
        <v>0</v>
      </c>
      <c r="D22" s="33">
        <f>LSUE!D22+SUSLA!D22+'LCTCS Summary'!D22-LCTCBoard!D22-Online!D22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LSUE!B23+SUSLA!B23+'LCTCS Summary'!B23-LCTCBoard!B23-Online!B23</f>
        <v>0</v>
      </c>
      <c r="C23" s="33">
        <f>LSUE!C23+SUSLA!C23+'LCTCS Summary'!C23-LCTCBoard!C23-Online!C23</f>
        <v>0</v>
      </c>
      <c r="D23" s="33">
        <f>LSUE!D23+SUSLA!D23+'LCTCS Summary'!D23-LCTCBoard!D23-Online!D23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LSUE!B24+SUSLA!B24+'LCTCS Summary'!B24-LCTCBoard!B24-Online!B24</f>
        <v>0</v>
      </c>
      <c r="C24" s="33">
        <f>LSUE!C24+SUSLA!C24+'LCTCS Summary'!C24-LCTCBoard!C24-Online!C24</f>
        <v>0</v>
      </c>
      <c r="D24" s="33">
        <f>LSUE!D24+SUSLA!D24+'LCTCS Summary'!D24-LCTCBoard!D24-Online!D24</f>
        <v>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LSUE!B25+SUSLA!B25+'LCTCS Summary'!B25-LCTCBoard!B25-Online!B25</f>
        <v>0</v>
      </c>
      <c r="C25" s="33">
        <f>LSUE!C25+SUSLA!C25+'LCTCS Summary'!C25-LCTCBoard!C25-Online!C25</f>
        <v>0</v>
      </c>
      <c r="D25" s="33">
        <f>LSUE!D25+SUSLA!D25+'LCTCS Summary'!D25-LCTCBoard!D25-Online!D25</f>
        <v>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LSUE!B26+SUSLA!B26+'LCTCS Summary'!B26-LCTCBoard!B26-Online!B26</f>
        <v>319900</v>
      </c>
      <c r="C26" s="33">
        <f>LSUE!C26+SUSLA!C26+'LCTCS Summary'!C26-LCTCBoard!C26-Online!C26</f>
        <v>319900</v>
      </c>
      <c r="D26" s="33">
        <f>LSUE!D26+SUSLA!D26+'LCTCS Summary'!D26-LCTCBoard!D26-Online!D26</f>
        <v>298280</v>
      </c>
      <c r="E26" s="33">
        <f t="shared" si="0"/>
        <v>-21620</v>
      </c>
      <c r="F26" s="34">
        <f t="shared" si="1"/>
        <v>-0.06758361988121288</v>
      </c>
    </row>
    <row r="27" spans="1:6" s="24" customFormat="1" ht="26.25">
      <c r="A27" s="40" t="s">
        <v>31</v>
      </c>
      <c r="B27" s="33">
        <f>LSUE!B27+SUSLA!B27+'LCTCS Summary'!B27-LCTCBoard!B27-Online!B27</f>
        <v>0</v>
      </c>
      <c r="C27" s="33">
        <f>LSUE!C27+SUSLA!C27+'LCTCS Summary'!C27-LCTCBoard!C27-Online!C27</f>
        <v>0</v>
      </c>
      <c r="D27" s="33">
        <f>LSUE!D27+SUSLA!D27+'LCTCS Summary'!D27-LCTCBoard!D27-Online!D27</f>
        <v>0</v>
      </c>
      <c r="E27" s="33">
        <f t="shared" si="0"/>
        <v>0</v>
      </c>
      <c r="F27" s="34">
        <f t="shared" si="1"/>
        <v>0</v>
      </c>
    </row>
    <row r="28" spans="1:6" s="24" customFormat="1" ht="26.25">
      <c r="A28" s="40" t="s">
        <v>87</v>
      </c>
      <c r="B28" s="33">
        <f>LSUE!B28+SUSLA!B28+'LCTCS Summary'!B28-LCTCBoard!B28-Online!B28</f>
        <v>0</v>
      </c>
      <c r="C28" s="33">
        <f>LSUE!C28+SUSLA!C28+'LCTCS Summary'!C28-LCTCBoard!C28-Online!C28</f>
        <v>0</v>
      </c>
      <c r="D28" s="33">
        <f>LSUE!D28+SUSLA!D28+'LCTCS Summary'!D28-LCTCBoard!D28-Online!D28</f>
        <v>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LSUE!B29+SUSLA!B29+'LCTCS Summary'!B29-LCTCBoard!B29-Online!B29</f>
        <v>0</v>
      </c>
      <c r="C29" s="33">
        <f>LSUE!C29+SUSLA!C29+'LCTCS Summary'!C29-LCTCBoard!C29-Online!C29</f>
        <v>0</v>
      </c>
      <c r="D29" s="33">
        <f>LSUE!D29+SUSLA!D29+'LCTCS Summary'!D29-LCTCBoard!D29-Online!D29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LSUE!B31+SUSLA!B31+'LCTCS Summary'!B31-LCTCBoard!B31-Online!B31</f>
        <v>0</v>
      </c>
      <c r="C31" s="33">
        <f>LSUE!C31+SUSLA!C31+'LCTCS Summary'!C31-LCTCBoard!C31-Online!C31</f>
        <v>0</v>
      </c>
      <c r="D31" s="33">
        <f>LSUE!D31+SUSLA!D31+'LCTCS Summary'!D31-LCTCBoard!D31-Online!D31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LSUE!B33+SUSLA!B33+'LCTCS Summary'!B33-LCTCBoard!B33-Online!B33</f>
        <v>0</v>
      </c>
      <c r="C33" s="33">
        <f>LSUE!C33+SUSLA!C33+'LCTCS Summary'!C33-LCTCBoard!C33-Online!C33</f>
        <v>0</v>
      </c>
      <c r="D33" s="33">
        <f>LSUE!D33+SUSLA!D33+'LCTCS Summary'!D33-LCTCBoard!D33-Online!D33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24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8" s="46" customFormat="1" ht="26.25">
      <c r="A35" s="43" t="s">
        <v>38</v>
      </c>
      <c r="B35" s="67">
        <f>LSUE!B35+SUSLA!B35+'LCTCS Summary'!B35-LCTCBoard!B35-Online!B35</f>
        <v>121731394.71000001</v>
      </c>
      <c r="C35" s="67">
        <f>LSUE!C35+SUSLA!C35+'LCTCS Summary'!C35-LCTCBoard!C35-Online!C35</f>
        <v>122520312.18</v>
      </c>
      <c r="D35" s="67">
        <f>LSUE!D35+SUSLA!D35+'LCTCS Summary'!D35-LCTCBoard!D35-Online!D35</f>
        <v>125027697</v>
      </c>
      <c r="E35" s="52">
        <f>D35-C35</f>
        <v>2507384.819999993</v>
      </c>
      <c r="F35" s="45">
        <f>IF(ISBLANK(E35),"  ",IF(C35&gt;0,E35/C35,IF(E35&gt;0,1,0)))</f>
        <v>0.020465054123566737</v>
      </c>
      <c r="H35" s="103"/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LSUE!B37+SUSLA!B37+'LCTCS Summary'!B37-LCTCBoard!B37-Online!B37</f>
        <v>0</v>
      </c>
      <c r="C37" s="33">
        <f>LSUE!C37+SUSLA!C37+'LCTCS Summary'!C37-LCTCBoard!C37-Online!C37</f>
        <v>0</v>
      </c>
      <c r="D37" s="33">
        <f>LSUE!D37+SUSLA!D37+'LCTCS Summary'!D37-LCTCBoard!D37-Online!D37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LSUE!B38+SUSLA!B38+'LCTCS Summary'!B38-LCTCBoard!B38-Online!B38</f>
        <v>0</v>
      </c>
      <c r="C38" s="33">
        <f>LSUE!C38+SUSLA!C38+'LCTCS Summary'!C38-LCTCBoard!C38-Online!C38</f>
        <v>0</v>
      </c>
      <c r="D38" s="33">
        <f>LSUE!D38+SUSLA!D38+'LCTCS Summary'!D38-LCTCBoard!D38-Online!D38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LSUE!B39+SUSLA!B39+'LCTCS Summary'!B39-LCTCBoard!B39-Online!B39</f>
        <v>5157072.5600000005</v>
      </c>
      <c r="C39" s="33">
        <f>LSUE!C39+SUSLA!C39+'LCTCS Summary'!C39-LCTCBoard!C39-Online!C39</f>
        <v>0</v>
      </c>
      <c r="D39" s="33">
        <f>LSUE!D39+SUSLA!D39+'LCTCS Summary'!D39-LCTCBoard!D39-Online!D39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LSUE!B40+SUSLA!B40+'LCTCS Summary'!B40-LCTCBoard!B40-Online!B40</f>
        <v>0</v>
      </c>
      <c r="C40" s="33">
        <f>LSUE!C40+SUSLA!C40+'LCTCS Summary'!C40-LCTCBoard!C40-Online!C40</f>
        <v>0</v>
      </c>
      <c r="D40" s="33">
        <f>LSUE!D40+SUSLA!D40+'LCTCS Summary'!D40-LCTCBoard!D40-Online!D40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LSUE!B41+SUSLA!B41+'LCTCS Summary'!B41-LCTCBoard!B41-Online!B41</f>
        <v>0</v>
      </c>
      <c r="C41" s="33">
        <f>LSUE!C41+SUSLA!C41+'LCTCS Summary'!C41-LCTCBoard!C41-Online!C41</f>
        <v>0</v>
      </c>
      <c r="D41" s="33">
        <f>LSUE!D41+SUSLA!D41+'LCTCS Summary'!D41-LCTCBoard!D41-Online!D41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LSUE!B42+SUSLA!B42+'LCTCS Summary'!B42-LCTCBoard!B42-Online!B42</f>
        <v>5157072.5600000005</v>
      </c>
      <c r="C42" s="52">
        <f>LSUE!C42+SUSLA!C42+'LCTCS Summary'!C42-LCTCBoard!C42-Online!C42</f>
        <v>0</v>
      </c>
      <c r="D42" s="52">
        <f>LSUE!D42+SUSLA!D42+'LCTCS Summary'!D42-LCTCBoard!D42-Online!D42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LSUE!B44+SUSLA!B44+'LCTCS Summary'!B44-LCTCBoard!B44-Online!B44</f>
        <v>0</v>
      </c>
      <c r="C44" s="52">
        <f>LSUE!C44+SUSLA!C44+'LCTCS Summary'!C44-LCTCBoard!C44-Online!C44</f>
        <v>0</v>
      </c>
      <c r="D44" s="52">
        <f>LSUE!D44+SUSLA!D44+'LCTCS Summary'!D44-LCTCBoard!D44-Online!D44</f>
        <v>0</v>
      </c>
      <c r="E44" s="52">
        <f>D44-C44</f>
        <v>0</v>
      </c>
      <c r="F44" s="45">
        <f>IF(ISBLANK(E44),"  ",IF(C44&gt;0,E44/C44,IF(E44&gt;0,1,0)))</f>
        <v>0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LSUE!B46+SUSLA!B46+'LCTCS Summary'!B46-LCTCBoard!B46-Online!B46</f>
        <v>0</v>
      </c>
      <c r="C46" s="52">
        <f>LSUE!C46+SUSLA!C46+'LCTCS Summary'!C46-LCTCBoard!C46-Online!C46</f>
        <v>0</v>
      </c>
      <c r="D46" s="52">
        <f>LSUE!D46+SUSLA!D46+'LCTCS Summary'!D46-LCTCBoard!D46-Online!D46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LSUE!B48+SUSLA!B48+'LCTCS Summary'!B48-LCTCBoard!B48-Online!B48</f>
        <v>178879306.22000003</v>
      </c>
      <c r="C48" s="52">
        <f>LSUE!C48+SUSLA!C48+'LCTCS Summary'!C48-LCTCBoard!C48-Online!C48</f>
        <v>197176851.59000003</v>
      </c>
      <c r="D48" s="52">
        <f>LSUE!D48+SUSLA!D48+'LCTCS Summary'!D48-LCTCBoard!D48-Online!D48</f>
        <v>189030356.60000002</v>
      </c>
      <c r="E48" s="52">
        <f>D48-C48</f>
        <v>-8146494.99000001</v>
      </c>
      <c r="F48" s="45">
        <f>IF(ISBLANK(E48),"  ",IF(C48&gt;0,E48/C48,IF(E48&gt;0,1,0)))</f>
        <v>-0.041315676380407146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LSUE!B50+SUSLA!B50+'LCTCS Summary'!B50-LCTCBoard!B50-Online!B50</f>
        <v>0</v>
      </c>
      <c r="C50" s="52">
        <f>LSUE!C50+SUSLA!C50+'LCTCS Summary'!C50-LCTCBoard!C50-Online!C50</f>
        <v>0</v>
      </c>
      <c r="D50" s="52">
        <f>LSUE!D50+SUSLA!D50+'LCTCS Summary'!D50-LCTCBoard!D50-Online!D50</f>
        <v>0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LSUE!B52+SUSLA!B52+'LCTCS Summary'!B52-LCTCBoard!B52-Online!B52</f>
        <v>0</v>
      </c>
      <c r="C52" s="52">
        <f>LSUE!C52+SUSLA!C52+'LCTCS Summary'!C52-LCTCBoard!C52-Online!C52</f>
        <v>0</v>
      </c>
      <c r="D52" s="52">
        <f>LSUE!D52+SUSLA!D52+'LCTCS Summary'!D52-LCTCBoard!D52-Online!D52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LSUE!B54+SUSLA!B54+'LCTCS Summary'!B54-LCTCBoard!B54-Online!B54</f>
        <v>295453627.37</v>
      </c>
      <c r="C54" s="52">
        <f>LSUE!C54+SUSLA!C54+'LCTCS Summary'!C54-LCTCBoard!C54-Online!C54</f>
        <v>319697163.77000004</v>
      </c>
      <c r="D54" s="52">
        <f>LSUE!D54+SUSLA!D54+'LCTCS Summary'!D54-LCTCBoard!D54-Online!D54</f>
        <v>314058053.6</v>
      </c>
      <c r="E54" s="52">
        <f>D54-C54</f>
        <v>-5639110.170000017</v>
      </c>
      <c r="F54" s="45">
        <f>IF(ISBLANK(E54),"  ",IF(C54&gt;0,E54/C54,IF(E54&gt;0,1,0)))</f>
        <v>-0.017638912098879193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LSUE!B58+SUSLA!B58+'LCTCS Summary'!B58-LCTCBoard!B58-Online!B58</f>
        <v>139454871.26999998</v>
      </c>
      <c r="C58" s="33">
        <f>LSUE!C58+SUSLA!C58+'LCTCS Summary'!C58-LCTCBoard!C58-Online!C58</f>
        <v>146175123.77989393</v>
      </c>
      <c r="D58" s="33">
        <f>LSUE!D58+SUSLA!D58+'LCTCS Summary'!D58-LCTCBoard!D58-Online!D58</f>
        <v>145239482.33989394</v>
      </c>
      <c r="E58" s="33">
        <f aca="true" t="shared" si="4" ref="E58:E71">D58-C58</f>
        <v>-935641.4399999976</v>
      </c>
      <c r="F58" s="34">
        <f aca="true" t="shared" si="5" ref="F58:F71">IF(ISBLANK(E58),"  ",IF(C58&gt;0,E58/C58,IF(E58&gt;0,1,0)))</f>
        <v>-0.006400825364847018</v>
      </c>
    </row>
    <row r="59" spans="1:6" s="24" customFormat="1" ht="26.25">
      <c r="A59" s="39" t="s">
        <v>55</v>
      </c>
      <c r="B59" s="33">
        <f>LSUE!B59+SUSLA!B59+'LCTCS Summary'!B59-LCTCBoard!B59-Online!B59</f>
        <v>0</v>
      </c>
      <c r="C59" s="33">
        <f>LSUE!C59+SUSLA!C59+'LCTCS Summary'!C59-LCTCBoard!C59-Online!C59</f>
        <v>0</v>
      </c>
      <c r="D59" s="33">
        <f>LSUE!D59+SUSLA!D59+'LCTCS Summary'!D59-LCTCBoard!D59-Online!D59</f>
        <v>0</v>
      </c>
      <c r="E59" s="33">
        <f t="shared" si="4"/>
        <v>0</v>
      </c>
      <c r="F59" s="34">
        <f t="shared" si="5"/>
        <v>0</v>
      </c>
    </row>
    <row r="60" spans="1:6" s="24" customFormat="1" ht="26.25">
      <c r="A60" s="39" t="s">
        <v>56</v>
      </c>
      <c r="B60" s="33">
        <f>LSUE!B60+SUSLA!B60+'LCTCS Summary'!B60-LCTCBoard!B60-Online!B60</f>
        <v>241473.05</v>
      </c>
      <c r="C60" s="33">
        <f>LSUE!C60+SUSLA!C60+'LCTCS Summary'!C60-LCTCBoard!C60-Online!C60</f>
        <v>273131</v>
      </c>
      <c r="D60" s="33">
        <f>LSUE!D60+SUSLA!D60+'LCTCS Summary'!D60-LCTCBoard!D60-Online!D60</f>
        <v>262941</v>
      </c>
      <c r="E60" s="33">
        <f t="shared" si="4"/>
        <v>-10190</v>
      </c>
      <c r="F60" s="34">
        <f t="shared" si="5"/>
        <v>-0.037308104902043344</v>
      </c>
    </row>
    <row r="61" spans="1:6" s="24" customFormat="1" ht="26.25">
      <c r="A61" s="39" t="s">
        <v>57</v>
      </c>
      <c r="B61" s="33">
        <f>LSUE!B61+SUSLA!B61+'LCTCS Summary'!B61-LCTCBoard!B61-Online!B61</f>
        <v>24522773.06</v>
      </c>
      <c r="C61" s="33">
        <f>LSUE!C61+SUSLA!C61+'LCTCS Summary'!C61-LCTCBoard!C61-Online!C61</f>
        <v>25642484.259999998</v>
      </c>
      <c r="D61" s="33">
        <f>LSUE!D61+SUSLA!D61+'LCTCS Summary'!D61-LCTCBoard!D61-Online!D61</f>
        <v>27298275.524320833</v>
      </c>
      <c r="E61" s="33">
        <f t="shared" si="4"/>
        <v>1655791.2643208355</v>
      </c>
      <c r="F61" s="34">
        <f t="shared" si="5"/>
        <v>0.06457218604609706</v>
      </c>
    </row>
    <row r="62" spans="1:6" s="24" customFormat="1" ht="26.25">
      <c r="A62" s="39" t="s">
        <v>58</v>
      </c>
      <c r="B62" s="33">
        <f>LSUE!B62+SUSLA!B62+'LCTCS Summary'!B62-LCTCBoard!B62-Online!B62</f>
        <v>24411218.740000002</v>
      </c>
      <c r="C62" s="33">
        <f>LSUE!C62+SUSLA!C62+'LCTCS Summary'!C62-LCTCBoard!C62-Online!C62</f>
        <v>26398472.85880561</v>
      </c>
      <c r="D62" s="33">
        <f>LSUE!D62+SUSLA!D62+'LCTCS Summary'!D62-LCTCBoard!D62-Online!D62</f>
        <v>27786195.028805614</v>
      </c>
      <c r="E62" s="33">
        <f t="shared" si="4"/>
        <v>1387722.1700000018</v>
      </c>
      <c r="F62" s="34">
        <f t="shared" si="5"/>
        <v>0.05256827459006236</v>
      </c>
    </row>
    <row r="63" spans="1:6" s="24" customFormat="1" ht="26.25">
      <c r="A63" s="39" t="s">
        <v>59</v>
      </c>
      <c r="B63" s="33">
        <f>LSUE!B63+SUSLA!B63+'LCTCS Summary'!B63-LCTCBoard!B63-Online!B63</f>
        <v>57340481.85000001</v>
      </c>
      <c r="C63" s="33">
        <f>LSUE!C63+SUSLA!C63+'LCTCS Summary'!C63-LCTCBoard!C63-Online!C63</f>
        <v>64277681.66557312</v>
      </c>
      <c r="D63" s="33">
        <f>LSUE!D63+SUSLA!D63+'LCTCS Summary'!D63-LCTCBoard!D63-Online!D63</f>
        <v>65116070.24186177</v>
      </c>
      <c r="E63" s="33">
        <f t="shared" si="4"/>
        <v>838388.576288648</v>
      </c>
      <c r="F63" s="34">
        <f t="shared" si="5"/>
        <v>0.013043229851547145</v>
      </c>
    </row>
    <row r="64" spans="1:6" s="24" customFormat="1" ht="26.25">
      <c r="A64" s="39" t="s">
        <v>60</v>
      </c>
      <c r="B64" s="33">
        <f>LSUE!B64+SUSLA!B64+'LCTCS Summary'!B64-LCTCBoard!B64-Online!B64</f>
        <v>6279189.48</v>
      </c>
      <c r="C64" s="33">
        <f>LSUE!C64+SUSLA!C64+'LCTCS Summary'!C64-LCTCBoard!C64-Online!C64</f>
        <v>7421699.4</v>
      </c>
      <c r="D64" s="33">
        <f>LSUE!D64+SUSLA!D64+'LCTCS Summary'!D64-LCTCBoard!D64-Online!D64</f>
        <v>903144</v>
      </c>
      <c r="E64" s="33">
        <f t="shared" si="4"/>
        <v>-6518555.4</v>
      </c>
      <c r="F64" s="34">
        <f t="shared" si="5"/>
        <v>-0.8783103503221917</v>
      </c>
    </row>
    <row r="65" spans="1:6" s="24" customFormat="1" ht="26.25">
      <c r="A65" s="39" t="s">
        <v>61</v>
      </c>
      <c r="B65" s="33">
        <f>LSUE!B65+SUSLA!B65+'LCTCS Summary'!B65-LCTCBoard!B65-Online!B65</f>
        <v>33306172.790000003</v>
      </c>
      <c r="C65" s="33">
        <f>LSUE!C65+SUSLA!C65+'LCTCS Summary'!C65-LCTCBoard!C65-Online!C65</f>
        <v>39484121.858052954</v>
      </c>
      <c r="D65" s="33">
        <f>LSUE!D65+SUSLA!D65+'LCTCS Summary'!D65-LCTCBoard!D65-Online!D65</f>
        <v>37919036.29805295</v>
      </c>
      <c r="E65" s="33">
        <f t="shared" si="4"/>
        <v>-1565085.5600000024</v>
      </c>
      <c r="F65" s="34">
        <f t="shared" si="5"/>
        <v>-0.03963835299735295</v>
      </c>
    </row>
    <row r="66" spans="1:6" s="46" customFormat="1" ht="26.25">
      <c r="A66" s="59" t="s">
        <v>62</v>
      </c>
      <c r="B66" s="52">
        <f>LSUE!B66+SUSLA!B66+'LCTCS Summary'!B66-LCTCBoard!B66-Online!B66</f>
        <v>285556181.24000007</v>
      </c>
      <c r="C66" s="52">
        <f>LSUE!C66+SUSLA!C66+'LCTCS Summary'!C66-LCTCBoard!C66-Online!C66</f>
        <v>309672714.82232565</v>
      </c>
      <c r="D66" s="52">
        <f>LSUE!D66+SUSLA!D66+'LCTCS Summary'!D66-LCTCBoard!D66-Online!D66</f>
        <v>304525144.4329351</v>
      </c>
      <c r="E66" s="52">
        <f t="shared" si="4"/>
        <v>-5147570.389390528</v>
      </c>
      <c r="F66" s="45">
        <f t="shared" si="5"/>
        <v>-0.01662261524184958</v>
      </c>
    </row>
    <row r="67" spans="1:6" s="24" customFormat="1" ht="26.25">
      <c r="A67" s="39" t="s">
        <v>63</v>
      </c>
      <c r="B67" s="33">
        <f>LSUE!B67+SUSLA!B67+'LCTCS Summary'!B67-LCTCBoard!B67-Online!B67</f>
        <v>0</v>
      </c>
      <c r="C67" s="33">
        <f>LSUE!C67+SUSLA!C67+'LCTCS Summary'!C67-LCTCBoard!C67-Online!C67</f>
        <v>0</v>
      </c>
      <c r="D67" s="33">
        <f>LSUE!D67+SUSLA!D67+'LCTCS Summary'!D67-LCTCBoard!D67-Online!D67</f>
        <v>0</v>
      </c>
      <c r="E67" s="33">
        <f t="shared" si="4"/>
        <v>0</v>
      </c>
      <c r="F67" s="34">
        <f t="shared" si="5"/>
        <v>0</v>
      </c>
    </row>
    <row r="68" spans="1:6" s="24" customFormat="1" ht="26.25">
      <c r="A68" s="39" t="s">
        <v>64</v>
      </c>
      <c r="B68" s="33">
        <f>LSUE!B68+SUSLA!B68+'LCTCS Summary'!B68-LCTCBoard!B68-Online!B68</f>
        <v>7611041.42</v>
      </c>
      <c r="C68" s="33">
        <f>LSUE!C68+SUSLA!C68+'LCTCS Summary'!C68-LCTCBoard!C68-Online!C68</f>
        <v>7531915</v>
      </c>
      <c r="D68" s="33">
        <f>LSUE!D68+SUSLA!D68+'LCTCS Summary'!D68-LCTCBoard!D68-Online!D68</f>
        <v>7744031</v>
      </c>
      <c r="E68" s="33">
        <f t="shared" si="4"/>
        <v>212116</v>
      </c>
      <c r="F68" s="34">
        <f t="shared" si="5"/>
        <v>0.02816229338753823</v>
      </c>
    </row>
    <row r="69" spans="1:6" s="24" customFormat="1" ht="26.25">
      <c r="A69" s="39" t="s">
        <v>65</v>
      </c>
      <c r="B69" s="33">
        <f>LSUE!B69+SUSLA!B69+'LCTCS Summary'!B69-LCTCBoard!B69-Online!B69</f>
        <v>1487992.09</v>
      </c>
      <c r="C69" s="33">
        <f>LSUE!C69+SUSLA!C69+'LCTCS Summary'!C69-LCTCBoard!C69-Online!C69</f>
        <v>1496566</v>
      </c>
      <c r="D69" s="33">
        <f>LSUE!D69+SUSLA!D69+'LCTCS Summary'!D69-LCTCBoard!D69-Online!D69</f>
        <v>1231473</v>
      </c>
      <c r="E69" s="33">
        <f t="shared" si="4"/>
        <v>-265093</v>
      </c>
      <c r="F69" s="34">
        <f t="shared" si="5"/>
        <v>-0.17713418586283533</v>
      </c>
    </row>
    <row r="70" spans="1:6" s="24" customFormat="1" ht="26.25">
      <c r="A70" s="39" t="s">
        <v>66</v>
      </c>
      <c r="B70" s="33">
        <f>LSUE!B70+SUSLA!B70+'LCTCS Summary'!B70-LCTCBoard!B70-Online!B70</f>
        <v>798412.5</v>
      </c>
      <c r="C70" s="33">
        <f>LSUE!C70+SUSLA!C70+'LCTCS Summary'!C70-LCTCBoard!C70-Online!C70</f>
        <v>995977</v>
      </c>
      <c r="D70" s="33">
        <f>LSUE!D70+SUSLA!D70+'LCTCS Summary'!D70-LCTCBoard!D70-Online!D70</f>
        <v>557405</v>
      </c>
      <c r="E70" s="33">
        <f t="shared" si="4"/>
        <v>-438572</v>
      </c>
      <c r="F70" s="34">
        <f t="shared" si="5"/>
        <v>-0.4403435019081766</v>
      </c>
    </row>
    <row r="71" spans="1:6" s="46" customFormat="1" ht="26.25">
      <c r="A71" s="60" t="s">
        <v>67</v>
      </c>
      <c r="B71" s="52">
        <f>LSUE!B71+SUSLA!B71+'LCTCS Summary'!B71-LCTCBoard!B71-Online!B71-1</f>
        <v>295453627.25</v>
      </c>
      <c r="C71" s="52">
        <f>LSUE!C71+SUSLA!C71+'LCTCS Summary'!C71-LCTCBoard!C71-Online!C71</f>
        <v>319697163.82232565</v>
      </c>
      <c r="D71" s="52">
        <f>LSUE!D71+SUSLA!D71+'LCTCS Summary'!D71-LCTCBoard!D71-Online!D71</f>
        <v>314058054.4329351</v>
      </c>
      <c r="E71" s="52">
        <f t="shared" si="4"/>
        <v>-5639109.389390528</v>
      </c>
      <c r="F71" s="45">
        <f t="shared" si="5"/>
        <v>-0.01763890965427679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LSUE!B74+SUSLA!B74+'LCTCS Summary'!B74-LCTCBoard!B74-Online!B74</f>
        <v>161442409.48000002</v>
      </c>
      <c r="C74" s="33">
        <f>LSUE!C74+SUSLA!C74+'LCTCS Summary'!C74-LCTCBoard!C74-Online!C74</f>
        <v>170372220.16431004</v>
      </c>
      <c r="D74" s="33">
        <f>LSUE!D74+SUSLA!D74+'LCTCS Summary'!D74-LCTCBoard!D74-Online!D74</f>
        <v>166978100.96431002</v>
      </c>
      <c r="E74" s="33">
        <f aca="true" t="shared" si="6" ref="E74:E92">D74-C74</f>
        <v>-3394119.200000018</v>
      </c>
      <c r="F74" s="34">
        <f aca="true" t="shared" si="7" ref="F74:F92">IF(ISBLANK(E74),"  ",IF(C74&gt;0,E74/C74,IF(E74&gt;0,1,0)))</f>
        <v>-0.019921787699465725</v>
      </c>
    </row>
    <row r="75" spans="1:6" s="24" customFormat="1" ht="26.25">
      <c r="A75" s="39" t="s">
        <v>70</v>
      </c>
      <c r="B75" s="33">
        <f>LSUE!B75+SUSLA!B75+'LCTCS Summary'!B75-LCTCBoard!B75-Online!B75</f>
        <v>1978471.52</v>
      </c>
      <c r="C75" s="33">
        <f>LSUE!C75+SUSLA!C75+'LCTCS Summary'!C75-LCTCBoard!C75-Online!C75</f>
        <v>2583745.737396737</v>
      </c>
      <c r="D75" s="33">
        <f>LSUE!D75+SUSLA!D75+'LCTCS Summary'!D75-LCTCBoard!D75-Online!D75</f>
        <v>2140337.737396737</v>
      </c>
      <c r="E75" s="33">
        <f t="shared" si="6"/>
        <v>-443408</v>
      </c>
      <c r="F75" s="34">
        <f t="shared" si="7"/>
        <v>-0.1716144098787203</v>
      </c>
    </row>
    <row r="76" spans="1:6" s="24" customFormat="1" ht="26.25">
      <c r="A76" s="39" t="s">
        <v>71</v>
      </c>
      <c r="B76" s="33">
        <f>LSUE!B76+SUSLA!B76+'LCTCS Summary'!B76-LCTCBoard!B76-Online!B76</f>
        <v>67311071.91</v>
      </c>
      <c r="C76" s="33">
        <f>LSUE!C76+SUSLA!C76+'LCTCS Summary'!C76-LCTCBoard!C76-Online!C76</f>
        <v>70881309.83146983</v>
      </c>
      <c r="D76" s="33">
        <f>LSUE!D76+SUSLA!D76+'LCTCS Summary'!D76-LCTCBoard!D76-Online!D76</f>
        <v>73835608.88207932</v>
      </c>
      <c r="E76" s="33">
        <f t="shared" si="6"/>
        <v>2954299.0506094843</v>
      </c>
      <c r="F76" s="34">
        <f t="shared" si="7"/>
        <v>0.04167952112670803</v>
      </c>
    </row>
    <row r="77" spans="1:6" s="46" customFormat="1" ht="26.25">
      <c r="A77" s="59" t="s">
        <v>72</v>
      </c>
      <c r="B77" s="52">
        <f>LSUE!B77+SUSLA!B77+'LCTCS Summary'!B77-LCTCBoard!B77-Online!B77</f>
        <v>230731952.3</v>
      </c>
      <c r="C77" s="52">
        <f>LSUE!C77+SUSLA!C77+'LCTCS Summary'!C77-LCTCBoard!C77-Online!C77</f>
        <v>243837275.7331766</v>
      </c>
      <c r="D77" s="52">
        <f>LSUE!D77+SUSLA!D77+'LCTCS Summary'!D77-LCTCBoard!D77-Online!D77</f>
        <v>242954047.5837861</v>
      </c>
      <c r="E77" s="52">
        <f t="shared" si="6"/>
        <v>-883228.1493904889</v>
      </c>
      <c r="F77" s="45">
        <f t="shared" si="7"/>
        <v>-0.00362220315468492</v>
      </c>
    </row>
    <row r="78" spans="1:6" s="24" customFormat="1" ht="26.25">
      <c r="A78" s="39" t="s">
        <v>73</v>
      </c>
      <c r="B78" s="33">
        <f>LSUE!B78+SUSLA!B78+'LCTCS Summary'!B78-LCTCBoard!B78-Online!B78</f>
        <v>944345.3699999999</v>
      </c>
      <c r="C78" s="33">
        <f>LSUE!C78+SUSLA!C78+'LCTCS Summary'!C78-LCTCBoard!C78-Online!C78</f>
        <v>1077164.06</v>
      </c>
      <c r="D78" s="33">
        <f>LSUE!D78+SUSLA!D78+'LCTCS Summary'!D78-LCTCBoard!D78-Online!D78</f>
        <v>1456068.45</v>
      </c>
      <c r="E78" s="33">
        <f t="shared" si="6"/>
        <v>378904.3899999999</v>
      </c>
      <c r="F78" s="34">
        <f t="shared" si="7"/>
        <v>0.35176107713805443</v>
      </c>
    </row>
    <row r="79" spans="1:6" s="24" customFormat="1" ht="26.25">
      <c r="A79" s="39" t="s">
        <v>74</v>
      </c>
      <c r="B79" s="33">
        <f>LSUE!B79+SUSLA!B79+'LCTCS Summary'!B79-LCTCBoard!B79-Online!B79</f>
        <v>31686696.979999997</v>
      </c>
      <c r="C79" s="33">
        <f>LSUE!C79+SUSLA!C79+'LCTCS Summary'!C79-LCTCBoard!C79-Online!C79</f>
        <v>36341465.15684352</v>
      </c>
      <c r="D79" s="33">
        <f>LSUE!D79+SUSLA!D79+'LCTCS Summary'!D79-LCTCBoard!D79-Online!D79</f>
        <v>36667504.27684352</v>
      </c>
      <c r="E79" s="33">
        <f t="shared" si="6"/>
        <v>326039.1199999973</v>
      </c>
      <c r="F79" s="34">
        <f t="shared" si="7"/>
        <v>0.008971545824937671</v>
      </c>
    </row>
    <row r="80" spans="1:6" s="24" customFormat="1" ht="26.25">
      <c r="A80" s="39" t="s">
        <v>75</v>
      </c>
      <c r="B80" s="33">
        <f>LSUE!B80+SUSLA!B80+'LCTCS Summary'!B80-LCTCBoard!B80-Online!B80</f>
        <v>4571576</v>
      </c>
      <c r="C80" s="33">
        <f>LSUE!C80+SUSLA!C80+'LCTCS Summary'!C80-LCTCBoard!C80-Online!C80</f>
        <v>5240054.753460983</v>
      </c>
      <c r="D80" s="33">
        <f>LSUE!D80+SUSLA!D80+'LCTCS Summary'!D80-LCTCBoard!D80-Online!D80</f>
        <v>6509892.093460983</v>
      </c>
      <c r="E80" s="33">
        <f t="shared" si="6"/>
        <v>1269837.3399999999</v>
      </c>
      <c r="F80" s="34">
        <f t="shared" si="7"/>
        <v>0.24233283806076455</v>
      </c>
    </row>
    <row r="81" spans="1:6" s="46" customFormat="1" ht="26.25">
      <c r="A81" s="42" t="s">
        <v>76</v>
      </c>
      <c r="B81" s="52">
        <f>LSUE!B81+SUSLA!B81+'LCTCS Summary'!B81-LCTCBoard!B81-Online!B81</f>
        <v>37202618.41</v>
      </c>
      <c r="C81" s="52">
        <f>LSUE!C81+SUSLA!C81+'LCTCS Summary'!C81-LCTCBoard!C81-Online!C81</f>
        <v>42658683.970304504</v>
      </c>
      <c r="D81" s="52">
        <f>LSUE!D81+SUSLA!D81+'LCTCS Summary'!D81-LCTCBoard!D81-Online!D81</f>
        <v>44633464.8203045</v>
      </c>
      <c r="E81" s="52">
        <f t="shared" si="6"/>
        <v>1974780.849999994</v>
      </c>
      <c r="F81" s="45">
        <f t="shared" si="7"/>
        <v>0.046292587257841224</v>
      </c>
    </row>
    <row r="82" spans="1:6" s="24" customFormat="1" ht="26.25">
      <c r="A82" s="39" t="s">
        <v>77</v>
      </c>
      <c r="B82" s="33">
        <f>LSUE!B82+SUSLA!B82+'LCTCS Summary'!B82-LCTCBoard!B82-Online!B82</f>
        <v>4217503.21</v>
      </c>
      <c r="C82" s="33">
        <f>LSUE!C82+SUSLA!C82+'LCTCS Summary'!C82-LCTCBoard!C82-Online!C82</f>
        <v>4903853.67</v>
      </c>
      <c r="D82" s="33">
        <f>LSUE!D82+SUSLA!D82+'LCTCS Summary'!D82-LCTCBoard!D82-Online!D82</f>
        <v>5118719</v>
      </c>
      <c r="E82" s="33">
        <f t="shared" si="6"/>
        <v>214865.33000000007</v>
      </c>
      <c r="F82" s="34">
        <f t="shared" si="7"/>
        <v>0.043815607980814825</v>
      </c>
    </row>
    <row r="83" spans="1:6" s="24" customFormat="1" ht="26.25">
      <c r="A83" s="39" t="s">
        <v>78</v>
      </c>
      <c r="B83" s="33">
        <f>LSUE!B83+SUSLA!B83+'LCTCS Summary'!B83-LCTCBoard!B83-Online!B83</f>
        <v>9360850.259999998</v>
      </c>
      <c r="C83" s="33">
        <f>LSUE!C83+SUSLA!C83+'LCTCS Summary'!C83-LCTCBoard!C83-Online!C83</f>
        <v>15614185.2</v>
      </c>
      <c r="D83" s="33">
        <f>LSUE!D83+SUSLA!D83+'LCTCS Summary'!D83-LCTCBoard!D83-Online!D83</f>
        <v>9844903</v>
      </c>
      <c r="E83" s="33">
        <f t="shared" si="6"/>
        <v>-5769282.199999999</v>
      </c>
      <c r="F83" s="34">
        <f t="shared" si="7"/>
        <v>-0.3694898021319742</v>
      </c>
    </row>
    <row r="84" spans="1:6" s="24" customFormat="1" ht="26.25">
      <c r="A84" s="39" t="s">
        <v>79</v>
      </c>
      <c r="B84" s="33">
        <f>LSUE!B84+SUSLA!B84+'LCTCS Summary'!B84-LCTCBoard!B84-Online!B84</f>
        <v>267931</v>
      </c>
      <c r="C84" s="33">
        <f>LSUE!C84+SUSLA!C84+'LCTCS Summary'!C84-LCTCBoard!C84-Online!C84</f>
        <v>0</v>
      </c>
      <c r="D84" s="33">
        <f>LSUE!D84+SUSLA!D84+'LCTCS Summary'!D84-LCTCBoard!D84-Online!D84</f>
        <v>105000</v>
      </c>
      <c r="E84" s="33">
        <f t="shared" si="6"/>
        <v>105000</v>
      </c>
      <c r="F84" s="34">
        <f t="shared" si="7"/>
        <v>1</v>
      </c>
    </row>
    <row r="85" spans="1:6" s="24" customFormat="1" ht="26.25">
      <c r="A85" s="39" t="s">
        <v>80</v>
      </c>
      <c r="B85" s="33">
        <f>LSUE!B85+SUSLA!B85+'LCTCS Summary'!B85-LCTCBoard!B85-Online!B85</f>
        <v>9664472.420000002</v>
      </c>
      <c r="C85" s="33">
        <f>LSUE!C85+SUSLA!C85+'LCTCS Summary'!C85-LCTCBoard!C85-Online!C85</f>
        <v>8754724</v>
      </c>
      <c r="D85" s="33">
        <f>LSUE!D85+SUSLA!D85+'LCTCS Summary'!D85-LCTCBoard!D85-Online!D85</f>
        <v>9005783</v>
      </c>
      <c r="E85" s="33">
        <f t="shared" si="6"/>
        <v>251059</v>
      </c>
      <c r="F85" s="34">
        <f t="shared" si="7"/>
        <v>0.028676974853804642</v>
      </c>
    </row>
    <row r="86" spans="1:6" s="46" customFormat="1" ht="26.25">
      <c r="A86" s="42" t="s">
        <v>81</v>
      </c>
      <c r="B86" s="52">
        <f>LSUE!B86+SUSLA!B86+'LCTCS Summary'!B86-LCTCBoard!B86-Online!B86</f>
        <v>23510758.110000003</v>
      </c>
      <c r="C86" s="52">
        <f>LSUE!C86+SUSLA!C86+'LCTCS Summary'!C86-LCTCBoard!C86-Online!C86</f>
        <v>29272762.87</v>
      </c>
      <c r="D86" s="52">
        <f>LSUE!D86+SUSLA!D86+'LCTCS Summary'!D86-LCTCBoard!D86-Online!D86</f>
        <v>24074405</v>
      </c>
      <c r="E86" s="52">
        <f t="shared" si="6"/>
        <v>-5198357.870000001</v>
      </c>
      <c r="F86" s="45">
        <f t="shared" si="7"/>
        <v>-0.17758343799271178</v>
      </c>
    </row>
    <row r="87" spans="1:6" s="24" customFormat="1" ht="26.25">
      <c r="A87" s="39" t="s">
        <v>82</v>
      </c>
      <c r="B87" s="33">
        <f>LSUE!B87+SUSLA!B87+'LCTCS Summary'!B87-LCTCBoard!B87-Online!B87</f>
        <v>3551843.3500000006</v>
      </c>
      <c r="C87" s="33">
        <f>LSUE!C87+SUSLA!C87+'LCTCS Summary'!C87-LCTCBoard!C87-Online!C87</f>
        <v>3061327.22</v>
      </c>
      <c r="D87" s="33">
        <f>LSUE!D87+SUSLA!D87+'LCTCS Summary'!D87-LCTCBoard!D87-Online!D87</f>
        <v>1998436.0288445419</v>
      </c>
      <c r="E87" s="33">
        <f t="shared" si="6"/>
        <v>-1062891.1911554583</v>
      </c>
      <c r="F87" s="34">
        <f t="shared" si="7"/>
        <v>-0.34719947093909753</v>
      </c>
    </row>
    <row r="88" spans="1:6" s="24" customFormat="1" ht="26.25">
      <c r="A88" s="39" t="s">
        <v>83</v>
      </c>
      <c r="B88" s="33">
        <f>LSUE!B88+SUSLA!B88+'LCTCS Summary'!B88-LCTCBoard!B88-Online!B88</f>
        <v>263481.74</v>
      </c>
      <c r="C88" s="33">
        <f>LSUE!C88+SUSLA!C88+'LCTCS Summary'!C88-LCTCBoard!C88-Online!C88</f>
        <v>342123.0288445419</v>
      </c>
      <c r="D88" s="33">
        <f>LSUE!D88+SUSLA!D88+'LCTCS Summary'!D88-LCTCBoard!D88-Online!D88</f>
        <v>357700</v>
      </c>
      <c r="E88" s="33">
        <f t="shared" si="6"/>
        <v>15576.971155458072</v>
      </c>
      <c r="F88" s="34">
        <f t="shared" si="7"/>
        <v>0.04553032050507225</v>
      </c>
    </row>
    <row r="89" spans="1:6" s="24" customFormat="1" ht="26.25">
      <c r="A89" s="48" t="s">
        <v>84</v>
      </c>
      <c r="B89" s="33">
        <f>LSUE!B89+SUSLA!B89+'LCTCS Summary'!B89-LCTCBoard!B89-Online!B89</f>
        <v>192973.34999999998</v>
      </c>
      <c r="C89" s="33">
        <f>LSUE!C89+SUSLA!C89+'LCTCS Summary'!C89-LCTCBoard!C89-Online!C89</f>
        <v>525000</v>
      </c>
      <c r="D89" s="33">
        <f>LSUE!D89+SUSLA!D89+'LCTCS Summary'!D89-LCTCBoard!D89-Online!D89</f>
        <v>40000</v>
      </c>
      <c r="E89" s="33">
        <f t="shared" si="6"/>
        <v>-485000</v>
      </c>
      <c r="F89" s="34">
        <f t="shared" si="7"/>
        <v>-0.9238095238095239</v>
      </c>
    </row>
    <row r="90" spans="1:6" s="46" customFormat="1" ht="26.25">
      <c r="A90" s="62" t="s">
        <v>85</v>
      </c>
      <c r="B90" s="52">
        <f>LSUE!B90+SUSLA!B90+'LCTCS Summary'!B90-LCTCBoard!B90-Online!B90</f>
        <v>4008299.4400000004</v>
      </c>
      <c r="C90" s="52">
        <f>LSUE!C90+SUSLA!C90+'LCTCS Summary'!C90-LCTCBoard!C90-Online!C90</f>
        <v>3928450.248844542</v>
      </c>
      <c r="D90" s="52">
        <f>LSUE!D90+SUSLA!D90+'LCTCS Summary'!D90-LCTCBoard!D90-Online!D90</f>
        <v>2396136.028844542</v>
      </c>
      <c r="E90" s="52">
        <f t="shared" si="6"/>
        <v>-1532314.2200000002</v>
      </c>
      <c r="F90" s="45">
        <f t="shared" si="7"/>
        <v>-0.3900556511949447</v>
      </c>
    </row>
    <row r="91" spans="1:6" s="24" customFormat="1" ht="26.25">
      <c r="A91" s="48" t="s">
        <v>86</v>
      </c>
      <c r="B91" s="33">
        <f>LSUE!B91+SUSLA!B91+'LCTCS Summary'!B91-LCTCBoard!B91-Online!B91</f>
        <v>0</v>
      </c>
      <c r="C91" s="33">
        <f>LSUE!C91+SUSLA!C91+'LCTCS Summary'!C91-LCTCBoard!C91-Online!C91</f>
        <v>0</v>
      </c>
      <c r="D91" s="33">
        <f>LSUE!D91+SUSLA!D91+'LCTCS Summary'!D91-LCTCBoard!D91-Online!D91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85">
        <f>LSUE!B92+SUSLA!B92+'LCTCS Summary'!B92-LCTCBoard!B92-Online!B92-1</f>
        <v>295453627.25</v>
      </c>
      <c r="C92" s="85">
        <f>LSUE!C92+SUSLA!C92+'LCTCS Summary'!C92-LCTCBoard!C92-Online!C92</f>
        <v>319697163.82232565</v>
      </c>
      <c r="D92" s="85">
        <f>LSUE!D92+SUSLA!D92+'LCTCS Summary'!D92-LCTCBoard!D92-Online!D92</f>
        <v>314058054.4329351</v>
      </c>
      <c r="E92" s="68">
        <f t="shared" si="6"/>
        <v>-5639109.389390528</v>
      </c>
      <c r="F92" s="69">
        <f t="shared" si="7"/>
        <v>-0.01763890965427679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Width="0" fitToHeight="1" horizontalDpi="600" verticalDpi="600" orientation="portrait" scale="2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103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22893747</v>
      </c>
      <c r="C8" s="33">
        <v>22893747</v>
      </c>
      <c r="D8" s="33">
        <v>23937086</v>
      </c>
      <c r="E8" s="33">
        <f aca="true" t="shared" si="0" ref="E8:E29">D8-C8</f>
        <v>1043339</v>
      </c>
      <c r="F8" s="34">
        <f aca="true" t="shared" si="1" ref="F8:F29">IF(ISBLANK(E8),"  ",IF(C8&gt;0,E8/C8,IF(E8&gt;0,1,0)))</f>
        <v>0.045573099064997964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1727641</v>
      </c>
      <c r="C10" s="36">
        <v>1993260</v>
      </c>
      <c r="D10" s="36">
        <v>1933153</v>
      </c>
      <c r="E10" s="36">
        <f t="shared" si="0"/>
        <v>-60107</v>
      </c>
      <c r="F10" s="34">
        <f t="shared" si="1"/>
        <v>-0.030155122763713717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1727641</v>
      </c>
      <c r="C12" s="38">
        <v>1993260</v>
      </c>
      <c r="D12" s="38">
        <v>1933153</v>
      </c>
      <c r="E12" s="36">
        <f t="shared" si="0"/>
        <v>-60107</v>
      </c>
      <c r="F12" s="34">
        <f t="shared" si="1"/>
        <v>-0.030155122763713717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24621388</v>
      </c>
      <c r="C35" s="44">
        <v>24887007</v>
      </c>
      <c r="D35" s="44">
        <v>25870239</v>
      </c>
      <c r="E35" s="44">
        <f>D35-C35</f>
        <v>983232</v>
      </c>
      <c r="F35" s="45">
        <f>IF(ISBLANK(E35),"  ",IF(C35&gt;0,E35/C35,IF(E35&gt;0,1,0)))</f>
        <v>0.03950784439446656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64727710</v>
      </c>
      <c r="C48" s="50">
        <v>64727710</v>
      </c>
      <c r="D48" s="50">
        <v>66227710</v>
      </c>
      <c r="E48" s="50">
        <f>D48-C48</f>
        <v>1500000</v>
      </c>
      <c r="F48" s="45">
        <f>IF(ISBLANK(E48),"  ",IF(C48&gt;0,E48/C48,IF(E48&gt;0,1,0)))</f>
        <v>0.023174000748674716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89349098</v>
      </c>
      <c r="C54" s="50">
        <v>89614717</v>
      </c>
      <c r="D54" s="50">
        <v>92097949</v>
      </c>
      <c r="E54" s="50">
        <f>D54-C54</f>
        <v>2483232</v>
      </c>
      <c r="F54" s="45">
        <f>IF(ISBLANK(E54),"  ",IF(C54&gt;0,E54/C54,IF(E54&gt;0,1,0)))</f>
        <v>0.027710091412775428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35331771</v>
      </c>
      <c r="C58" s="29">
        <v>36273296</v>
      </c>
      <c r="D58" s="29">
        <v>36564569</v>
      </c>
      <c r="E58" s="29">
        <f aca="true" t="shared" si="4" ref="E58:E71">D58-C58</f>
        <v>291273</v>
      </c>
      <c r="F58" s="34">
        <f aca="true" t="shared" si="5" ref="F58:F71">IF(ISBLANK(E58),"  ",IF(C58&gt;0,E58/C58,IF(E58&gt;0,1,0)))</f>
        <v>0.008029956803484305</v>
      </c>
    </row>
    <row r="59" spans="1:6" s="100" customFormat="1" ht="26.25">
      <c r="A59" s="39" t="s">
        <v>55</v>
      </c>
      <c r="B59" s="38">
        <v>3457565</v>
      </c>
      <c r="C59" s="38">
        <v>3506081</v>
      </c>
      <c r="D59" s="38">
        <v>4509052</v>
      </c>
      <c r="E59" s="38">
        <f t="shared" si="4"/>
        <v>1002971</v>
      </c>
      <c r="F59" s="34">
        <f t="shared" si="5"/>
        <v>0.2860661234010281</v>
      </c>
    </row>
    <row r="60" spans="1:6" s="100" customFormat="1" ht="26.25">
      <c r="A60" s="39" t="s">
        <v>56</v>
      </c>
      <c r="B60" s="38">
        <v>158409</v>
      </c>
      <c r="C60" s="38">
        <v>147449</v>
      </c>
      <c r="D60" s="38">
        <v>148221</v>
      </c>
      <c r="E60" s="38">
        <f t="shared" si="4"/>
        <v>772</v>
      </c>
      <c r="F60" s="34">
        <f t="shared" si="5"/>
        <v>0.005235708617895001</v>
      </c>
    </row>
    <row r="61" spans="1:6" s="100" customFormat="1" ht="26.25">
      <c r="A61" s="39" t="s">
        <v>57</v>
      </c>
      <c r="B61" s="38">
        <v>5025924</v>
      </c>
      <c r="C61" s="38">
        <v>4973595</v>
      </c>
      <c r="D61" s="38">
        <v>5246769</v>
      </c>
      <c r="E61" s="38">
        <f t="shared" si="4"/>
        <v>273174</v>
      </c>
      <c r="F61" s="34">
        <f t="shared" si="5"/>
        <v>0.0549248581760276</v>
      </c>
    </row>
    <row r="62" spans="1:6" s="100" customFormat="1" ht="26.25">
      <c r="A62" s="39" t="s">
        <v>58</v>
      </c>
      <c r="B62" s="38">
        <v>4227146</v>
      </c>
      <c r="C62" s="38">
        <v>4299918</v>
      </c>
      <c r="D62" s="38">
        <v>4268839</v>
      </c>
      <c r="E62" s="38">
        <f t="shared" si="4"/>
        <v>-31079</v>
      </c>
      <c r="F62" s="34">
        <f t="shared" si="5"/>
        <v>-0.007227812251303397</v>
      </c>
    </row>
    <row r="63" spans="1:6" s="100" customFormat="1" ht="26.25">
      <c r="A63" s="39" t="s">
        <v>59</v>
      </c>
      <c r="B63" s="38">
        <v>12198003</v>
      </c>
      <c r="C63" s="38">
        <v>12290791</v>
      </c>
      <c r="D63" s="38">
        <v>13393024</v>
      </c>
      <c r="E63" s="38">
        <f t="shared" si="4"/>
        <v>1102233</v>
      </c>
      <c r="F63" s="34">
        <f t="shared" si="5"/>
        <v>0.08967958205456426</v>
      </c>
    </row>
    <row r="64" spans="1:6" s="100" customFormat="1" ht="26.25">
      <c r="A64" s="39" t="s">
        <v>60</v>
      </c>
      <c r="B64" s="38">
        <v>13473732</v>
      </c>
      <c r="C64" s="38">
        <v>13660138</v>
      </c>
      <c r="D64" s="38">
        <v>14519925</v>
      </c>
      <c r="E64" s="38">
        <f t="shared" si="4"/>
        <v>859787</v>
      </c>
      <c r="F64" s="34">
        <f t="shared" si="5"/>
        <v>0.0629413114274541</v>
      </c>
    </row>
    <row r="65" spans="1:6" s="100" customFormat="1" ht="26.25">
      <c r="A65" s="39" t="s">
        <v>61</v>
      </c>
      <c r="B65" s="38">
        <v>10403202</v>
      </c>
      <c r="C65" s="38">
        <v>9390670</v>
      </c>
      <c r="D65" s="38">
        <v>8268027</v>
      </c>
      <c r="E65" s="38">
        <f t="shared" si="4"/>
        <v>-1122643</v>
      </c>
      <c r="F65" s="34">
        <f t="shared" si="5"/>
        <v>-0.11954876489111001</v>
      </c>
    </row>
    <row r="66" spans="1:6" s="102" customFormat="1" ht="26.25">
      <c r="A66" s="59" t="s">
        <v>62</v>
      </c>
      <c r="B66" s="44">
        <v>84275752</v>
      </c>
      <c r="C66" s="44">
        <v>84541938</v>
      </c>
      <c r="D66" s="44">
        <v>86918425</v>
      </c>
      <c r="E66" s="44">
        <f t="shared" si="4"/>
        <v>2376487</v>
      </c>
      <c r="F66" s="45">
        <f t="shared" si="5"/>
        <v>0.028110155222606795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43569</v>
      </c>
      <c r="C68" s="38">
        <v>43000</v>
      </c>
      <c r="D68" s="38">
        <v>43935</v>
      </c>
      <c r="E68" s="38">
        <f t="shared" si="4"/>
        <v>935</v>
      </c>
      <c r="F68" s="34">
        <f t="shared" si="5"/>
        <v>0.021744186046511627</v>
      </c>
    </row>
    <row r="69" spans="1:6" s="100" customFormat="1" ht="26.25">
      <c r="A69" s="39" t="s">
        <v>65</v>
      </c>
      <c r="B69" s="38">
        <v>5029779</v>
      </c>
      <c r="C69" s="38">
        <v>5029779</v>
      </c>
      <c r="D69" s="38">
        <v>5135589</v>
      </c>
      <c r="E69" s="38">
        <f t="shared" si="4"/>
        <v>105810</v>
      </c>
      <c r="F69" s="34">
        <f t="shared" si="5"/>
        <v>0.02103670956517175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89349098</v>
      </c>
      <c r="C71" s="61">
        <v>89614717</v>
      </c>
      <c r="D71" s="61">
        <v>92097949</v>
      </c>
      <c r="E71" s="61">
        <f t="shared" si="4"/>
        <v>2483232</v>
      </c>
      <c r="F71" s="45">
        <f t="shared" si="5"/>
        <v>0.027710091412775428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39153741</v>
      </c>
      <c r="C74" s="33">
        <v>39920198</v>
      </c>
      <c r="D74" s="33">
        <v>41026752</v>
      </c>
      <c r="E74" s="29">
        <f aca="true" t="shared" si="6" ref="E74:E92">D74-C74</f>
        <v>1106554</v>
      </c>
      <c r="F74" s="34">
        <f aca="true" t="shared" si="7" ref="F74:F92">IF(ISBLANK(E74),"  ",IF(C74&gt;0,E74/C74,IF(E74&gt;0,1,0)))</f>
        <v>0.027719151092386866</v>
      </c>
    </row>
    <row r="75" spans="1:6" s="100" customFormat="1" ht="26.25">
      <c r="A75" s="39" t="s">
        <v>70</v>
      </c>
      <c r="B75" s="36">
        <v>799972</v>
      </c>
      <c r="C75" s="36">
        <v>748961</v>
      </c>
      <c r="D75" s="36">
        <v>798677</v>
      </c>
      <c r="E75" s="38">
        <f t="shared" si="6"/>
        <v>49716</v>
      </c>
      <c r="F75" s="34">
        <f t="shared" si="7"/>
        <v>0.06637995836899385</v>
      </c>
    </row>
    <row r="76" spans="1:6" s="100" customFormat="1" ht="26.25">
      <c r="A76" s="39" t="s">
        <v>71</v>
      </c>
      <c r="B76" s="29">
        <v>17765497</v>
      </c>
      <c r="C76" s="29">
        <v>18058741</v>
      </c>
      <c r="D76" s="29">
        <v>18541951</v>
      </c>
      <c r="E76" s="38">
        <f t="shared" si="6"/>
        <v>483210</v>
      </c>
      <c r="F76" s="34">
        <f t="shared" si="7"/>
        <v>0.026757679286723256</v>
      </c>
    </row>
    <row r="77" spans="1:6" s="102" customFormat="1" ht="26.25">
      <c r="A77" s="59" t="s">
        <v>72</v>
      </c>
      <c r="B77" s="61">
        <v>57719209</v>
      </c>
      <c r="C77" s="61">
        <v>58727904</v>
      </c>
      <c r="D77" s="61">
        <v>60367379</v>
      </c>
      <c r="E77" s="44">
        <f t="shared" si="6"/>
        <v>1639475</v>
      </c>
      <c r="F77" s="45">
        <f t="shared" si="7"/>
        <v>0.027916456885639918</v>
      </c>
    </row>
    <row r="78" spans="1:6" s="100" customFormat="1" ht="26.25">
      <c r="A78" s="39" t="s">
        <v>73</v>
      </c>
      <c r="B78" s="36">
        <v>396107</v>
      </c>
      <c r="C78" s="36">
        <v>383212</v>
      </c>
      <c r="D78" s="36">
        <v>429234</v>
      </c>
      <c r="E78" s="38">
        <f t="shared" si="6"/>
        <v>46022</v>
      </c>
      <c r="F78" s="34">
        <f t="shared" si="7"/>
        <v>0.12009540411051846</v>
      </c>
    </row>
    <row r="79" spans="1:6" s="100" customFormat="1" ht="26.25">
      <c r="A79" s="39" t="s">
        <v>74</v>
      </c>
      <c r="B79" s="33">
        <v>8883258</v>
      </c>
      <c r="C79" s="33">
        <v>8312833</v>
      </c>
      <c r="D79" s="33">
        <v>7909757</v>
      </c>
      <c r="E79" s="38">
        <f t="shared" si="6"/>
        <v>-403076</v>
      </c>
      <c r="F79" s="34">
        <f t="shared" si="7"/>
        <v>-0.04848840341192948</v>
      </c>
    </row>
    <row r="80" spans="1:6" s="100" customFormat="1" ht="26.25">
      <c r="A80" s="39" t="s">
        <v>75</v>
      </c>
      <c r="B80" s="29">
        <v>1499766</v>
      </c>
      <c r="C80" s="29">
        <v>1064978</v>
      </c>
      <c r="D80" s="29">
        <v>1432035</v>
      </c>
      <c r="E80" s="38">
        <f t="shared" si="6"/>
        <v>367057</v>
      </c>
      <c r="F80" s="34">
        <f t="shared" si="7"/>
        <v>0.3446615798636216</v>
      </c>
    </row>
    <row r="81" spans="1:6" s="102" customFormat="1" ht="26.25">
      <c r="A81" s="42" t="s">
        <v>76</v>
      </c>
      <c r="B81" s="61">
        <v>10779132</v>
      </c>
      <c r="C81" s="61">
        <v>9761023</v>
      </c>
      <c r="D81" s="61">
        <v>9771026</v>
      </c>
      <c r="E81" s="44">
        <f t="shared" si="6"/>
        <v>10003</v>
      </c>
      <c r="F81" s="45">
        <f t="shared" si="7"/>
        <v>0.0010247901270184487</v>
      </c>
    </row>
    <row r="82" spans="1:6" s="100" customFormat="1" ht="26.25">
      <c r="A82" s="39" t="s">
        <v>77</v>
      </c>
      <c r="B82" s="29">
        <v>774214</v>
      </c>
      <c r="C82" s="29">
        <v>868191</v>
      </c>
      <c r="D82" s="29">
        <v>882691</v>
      </c>
      <c r="E82" s="38">
        <f t="shared" si="6"/>
        <v>14500</v>
      </c>
      <c r="F82" s="34">
        <f t="shared" si="7"/>
        <v>0.01670139404808389</v>
      </c>
    </row>
    <row r="83" spans="1:6" s="100" customFormat="1" ht="26.25">
      <c r="A83" s="39" t="s">
        <v>78</v>
      </c>
      <c r="B83" s="38">
        <v>18672656</v>
      </c>
      <c r="C83" s="38">
        <v>19066154</v>
      </c>
      <c r="D83" s="38">
        <v>19922251</v>
      </c>
      <c r="E83" s="38">
        <f t="shared" si="6"/>
        <v>856097</v>
      </c>
      <c r="F83" s="34">
        <f t="shared" si="7"/>
        <v>0.044901399621549265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43569</v>
      </c>
      <c r="C85" s="38">
        <v>43000</v>
      </c>
      <c r="D85" s="38">
        <v>43935</v>
      </c>
      <c r="E85" s="38">
        <f t="shared" si="6"/>
        <v>935</v>
      </c>
      <c r="F85" s="34">
        <f t="shared" si="7"/>
        <v>0.021744186046511627</v>
      </c>
    </row>
    <row r="86" spans="1:6" s="102" customFormat="1" ht="26.25">
      <c r="A86" s="42" t="s">
        <v>81</v>
      </c>
      <c r="B86" s="44">
        <v>19490439</v>
      </c>
      <c r="C86" s="44">
        <v>19977345</v>
      </c>
      <c r="D86" s="44">
        <v>20848877</v>
      </c>
      <c r="E86" s="44">
        <f t="shared" si="6"/>
        <v>871532</v>
      </c>
      <c r="F86" s="45">
        <f t="shared" si="7"/>
        <v>0.0436260173711772</v>
      </c>
    </row>
    <row r="87" spans="1:6" s="100" customFormat="1" ht="26.25">
      <c r="A87" s="39" t="s">
        <v>82</v>
      </c>
      <c r="B87" s="38">
        <v>1045479</v>
      </c>
      <c r="C87" s="38">
        <v>703052</v>
      </c>
      <c r="D87" s="38">
        <v>565271</v>
      </c>
      <c r="E87" s="38">
        <f t="shared" si="6"/>
        <v>-137781</v>
      </c>
      <c r="F87" s="34">
        <f t="shared" si="7"/>
        <v>-0.19597554661675096</v>
      </c>
    </row>
    <row r="88" spans="1:6" s="100" customFormat="1" ht="26.25">
      <c r="A88" s="39" t="s">
        <v>83</v>
      </c>
      <c r="B88" s="38">
        <v>314836</v>
      </c>
      <c r="C88" s="38">
        <v>445393</v>
      </c>
      <c r="D88" s="38">
        <v>545393</v>
      </c>
      <c r="E88" s="38">
        <f t="shared" si="6"/>
        <v>100000</v>
      </c>
      <c r="F88" s="34">
        <f t="shared" si="7"/>
        <v>0.22452081644749694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1360315</v>
      </c>
      <c r="C90" s="61">
        <v>1148445</v>
      </c>
      <c r="D90" s="61">
        <v>1110664</v>
      </c>
      <c r="E90" s="61">
        <f t="shared" si="6"/>
        <v>-37781</v>
      </c>
      <c r="F90" s="45">
        <f t="shared" si="7"/>
        <v>-0.03289752665560824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89349098</v>
      </c>
      <c r="C92" s="64">
        <v>89614717</v>
      </c>
      <c r="D92" s="64">
        <v>92097949</v>
      </c>
      <c r="E92" s="64">
        <f t="shared" si="6"/>
        <v>2483232</v>
      </c>
      <c r="F92" s="65">
        <f t="shared" si="7"/>
        <v>0.027710091412775428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3" sqref="B3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104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27334307</v>
      </c>
      <c r="C8" s="33">
        <v>27334307</v>
      </c>
      <c r="D8" s="33">
        <v>26562492</v>
      </c>
      <c r="E8" s="33">
        <f aca="true" t="shared" si="0" ref="E8:E29">D8-C8</f>
        <v>-771815</v>
      </c>
      <c r="F8" s="34">
        <f aca="true" t="shared" si="1" ref="F8:F29">IF(ISBLANK(E8),"  ",IF(C8&gt;0,E8/C8,IF(E8&gt;0,1,0)))</f>
        <v>-0.028236128320355807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2342652</v>
      </c>
      <c r="C10" s="36">
        <v>2702826</v>
      </c>
      <c r="D10" s="36">
        <v>2621321</v>
      </c>
      <c r="E10" s="36">
        <f t="shared" si="0"/>
        <v>-81505</v>
      </c>
      <c r="F10" s="34">
        <f t="shared" si="1"/>
        <v>-0.030155474307262103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2342652</v>
      </c>
      <c r="C12" s="38">
        <v>2702826</v>
      </c>
      <c r="D12" s="38">
        <v>2621321</v>
      </c>
      <c r="E12" s="36">
        <f t="shared" si="0"/>
        <v>-81505</v>
      </c>
      <c r="F12" s="34">
        <f t="shared" si="1"/>
        <v>-0.030155474307262103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29676959</v>
      </c>
      <c r="C35" s="44">
        <v>30037133</v>
      </c>
      <c r="D35" s="44">
        <v>29183813</v>
      </c>
      <c r="E35" s="44">
        <f>D35-C35</f>
        <v>-853320</v>
      </c>
      <c r="F35" s="45">
        <f>IF(ISBLANK(E35),"  ",IF(C35&gt;0,E35/C35,IF(E35&gt;0,1,0)))</f>
        <v>-0.02840883648915494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65606699</v>
      </c>
      <c r="C48" s="50">
        <v>69746142</v>
      </c>
      <c r="D48" s="50">
        <v>69746142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95283658</v>
      </c>
      <c r="C54" s="50">
        <v>99783275</v>
      </c>
      <c r="D54" s="50">
        <v>98929955</v>
      </c>
      <c r="E54" s="50">
        <f>D54-C54</f>
        <v>-853320</v>
      </c>
      <c r="F54" s="45">
        <f>IF(ISBLANK(E54),"  ",IF(C54&gt;0,E54/C54,IF(E54&gt;0,1,0)))</f>
        <v>-0.008551733744958762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36256461.769999996</v>
      </c>
      <c r="C58" s="29">
        <v>38497494</v>
      </c>
      <c r="D58" s="29">
        <v>36608924.56</v>
      </c>
      <c r="E58" s="29">
        <f aca="true" t="shared" si="4" ref="E58:E71">D58-C58</f>
        <v>-1888569.4399999976</v>
      </c>
      <c r="F58" s="34">
        <f aca="true" t="shared" si="5" ref="F58:F71">IF(ISBLANK(E58),"  ",IF(C58&gt;0,E58/C58,IF(E58&gt;0,1,0)))</f>
        <v>-0.0490569448494491</v>
      </c>
    </row>
    <row r="59" spans="1:6" s="100" customFormat="1" ht="26.25">
      <c r="A59" s="39" t="s">
        <v>55</v>
      </c>
      <c r="B59" s="38">
        <v>4651546</v>
      </c>
      <c r="C59" s="38">
        <v>4724855</v>
      </c>
      <c r="D59" s="38">
        <v>4280857</v>
      </c>
      <c r="E59" s="38">
        <f t="shared" si="4"/>
        <v>-443998</v>
      </c>
      <c r="F59" s="34">
        <f t="shared" si="5"/>
        <v>-0.0939707144452052</v>
      </c>
    </row>
    <row r="60" spans="1:6" s="100" customFormat="1" ht="26.25">
      <c r="A60" s="39" t="s">
        <v>56</v>
      </c>
      <c r="B60" s="38">
        <v>42120</v>
      </c>
      <c r="C60" s="38">
        <v>94361</v>
      </c>
      <c r="D60" s="38">
        <v>80499</v>
      </c>
      <c r="E60" s="38">
        <f t="shared" si="4"/>
        <v>-13862</v>
      </c>
      <c r="F60" s="34">
        <f t="shared" si="5"/>
        <v>-0.1469039115736374</v>
      </c>
    </row>
    <row r="61" spans="1:6" s="100" customFormat="1" ht="26.25">
      <c r="A61" s="39" t="s">
        <v>57</v>
      </c>
      <c r="B61" s="38">
        <v>8922069.03</v>
      </c>
      <c r="C61" s="38">
        <v>10868387</v>
      </c>
      <c r="D61" s="38">
        <v>12943977.32</v>
      </c>
      <c r="E61" s="38">
        <f t="shared" si="4"/>
        <v>2075590.3200000003</v>
      </c>
      <c r="F61" s="34">
        <f t="shared" si="5"/>
        <v>0.19097501036722378</v>
      </c>
    </row>
    <row r="62" spans="1:6" s="100" customFormat="1" ht="26.25">
      <c r="A62" s="39" t="s">
        <v>58</v>
      </c>
      <c r="B62" s="38">
        <v>5728628.4399999995</v>
      </c>
      <c r="C62" s="38">
        <v>8543555</v>
      </c>
      <c r="D62" s="38">
        <v>7640223.34</v>
      </c>
      <c r="E62" s="38">
        <f t="shared" si="4"/>
        <v>-903331.6600000001</v>
      </c>
      <c r="F62" s="34">
        <f t="shared" si="5"/>
        <v>-0.10573252703353582</v>
      </c>
    </row>
    <row r="63" spans="1:6" s="100" customFormat="1" ht="26.25">
      <c r="A63" s="39" t="s">
        <v>59</v>
      </c>
      <c r="B63" s="38">
        <v>13871847.87</v>
      </c>
      <c r="C63" s="38">
        <v>15263904.32</v>
      </c>
      <c r="D63" s="38">
        <v>16143001.41</v>
      </c>
      <c r="E63" s="38">
        <f t="shared" si="4"/>
        <v>879097.0899999999</v>
      </c>
      <c r="F63" s="34">
        <f t="shared" si="5"/>
        <v>0.057593199719428</v>
      </c>
    </row>
    <row r="64" spans="1:6" s="100" customFormat="1" ht="26.25">
      <c r="A64" s="39" t="s">
        <v>60</v>
      </c>
      <c r="B64" s="38">
        <v>12037063</v>
      </c>
      <c r="C64" s="38">
        <v>9386946</v>
      </c>
      <c r="D64" s="38">
        <v>9165135</v>
      </c>
      <c r="E64" s="38">
        <f t="shared" si="4"/>
        <v>-221811</v>
      </c>
      <c r="F64" s="34">
        <f t="shared" si="5"/>
        <v>-0.023629730052777548</v>
      </c>
    </row>
    <row r="65" spans="1:6" s="100" customFormat="1" ht="26.25">
      <c r="A65" s="39" t="s">
        <v>61</v>
      </c>
      <c r="B65" s="38">
        <v>11872725</v>
      </c>
      <c r="C65" s="38">
        <v>12403773</v>
      </c>
      <c r="D65" s="38">
        <v>12067337</v>
      </c>
      <c r="E65" s="38">
        <f t="shared" si="4"/>
        <v>-336436</v>
      </c>
      <c r="F65" s="34">
        <f t="shared" si="5"/>
        <v>-0.027123682447268264</v>
      </c>
    </row>
    <row r="66" spans="1:6" s="102" customFormat="1" ht="26.25">
      <c r="A66" s="59" t="s">
        <v>62</v>
      </c>
      <c r="B66" s="44">
        <v>93382461.11</v>
      </c>
      <c r="C66" s="44">
        <v>99783275.32</v>
      </c>
      <c r="D66" s="44">
        <v>98929954.63</v>
      </c>
      <c r="E66" s="44">
        <f t="shared" si="4"/>
        <v>-853320.6899999976</v>
      </c>
      <c r="F66" s="45">
        <f t="shared" si="5"/>
        <v>-0.008551740632520236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1901197.52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95283658.63</v>
      </c>
      <c r="C71" s="61">
        <v>99783275.32</v>
      </c>
      <c r="D71" s="61">
        <v>98929954.63</v>
      </c>
      <c r="E71" s="61">
        <f t="shared" si="4"/>
        <v>-853320.6899999976</v>
      </c>
      <c r="F71" s="45">
        <f t="shared" si="5"/>
        <v>-0.008551740632520236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37714263.77</v>
      </c>
      <c r="C74" s="33">
        <v>42197108.32</v>
      </c>
      <c r="D74" s="33">
        <v>44632460.629999995</v>
      </c>
      <c r="E74" s="29">
        <f aca="true" t="shared" si="6" ref="E74:E92">D74-C74</f>
        <v>2435352.309999995</v>
      </c>
      <c r="F74" s="34">
        <f aca="true" t="shared" si="7" ref="F74:F92">IF(ISBLANK(E74),"  ",IF(C74&gt;0,E74/C74,IF(E74&gt;0,1,0)))</f>
        <v>0.057713725109588145</v>
      </c>
    </row>
    <row r="75" spans="1:6" s="100" customFormat="1" ht="26.25">
      <c r="A75" s="39" t="s">
        <v>70</v>
      </c>
      <c r="B75" s="36">
        <v>3798140.6599999997</v>
      </c>
      <c r="C75" s="36">
        <v>4213400</v>
      </c>
      <c r="D75" s="36">
        <v>3743897</v>
      </c>
      <c r="E75" s="38">
        <f t="shared" si="6"/>
        <v>-469503</v>
      </c>
      <c r="F75" s="34">
        <f t="shared" si="7"/>
        <v>-0.11143091090330849</v>
      </c>
    </row>
    <row r="76" spans="1:6" s="100" customFormat="1" ht="26.25">
      <c r="A76" s="39" t="s">
        <v>71</v>
      </c>
      <c r="B76" s="29">
        <v>16463829.759999998</v>
      </c>
      <c r="C76" s="29">
        <v>16880396</v>
      </c>
      <c r="D76" s="29">
        <v>16788520</v>
      </c>
      <c r="E76" s="38">
        <f t="shared" si="6"/>
        <v>-91876</v>
      </c>
      <c r="F76" s="34">
        <f t="shared" si="7"/>
        <v>-0.005442763309581126</v>
      </c>
    </row>
    <row r="77" spans="1:6" s="102" customFormat="1" ht="26.25">
      <c r="A77" s="59" t="s">
        <v>72</v>
      </c>
      <c r="B77" s="61">
        <v>57976234.19</v>
      </c>
      <c r="C77" s="61">
        <v>63290904.32</v>
      </c>
      <c r="D77" s="61">
        <v>65164877.629999995</v>
      </c>
      <c r="E77" s="44">
        <f t="shared" si="6"/>
        <v>1873973.309999995</v>
      </c>
      <c r="F77" s="45">
        <f t="shared" si="7"/>
        <v>0.02960888819861304</v>
      </c>
    </row>
    <row r="78" spans="1:6" s="100" customFormat="1" ht="26.25">
      <c r="A78" s="39" t="s">
        <v>73</v>
      </c>
      <c r="B78" s="36">
        <v>225640.53</v>
      </c>
      <c r="C78" s="36">
        <v>293571</v>
      </c>
      <c r="D78" s="36">
        <v>346622</v>
      </c>
      <c r="E78" s="38">
        <f t="shared" si="6"/>
        <v>53051</v>
      </c>
      <c r="F78" s="34">
        <f t="shared" si="7"/>
        <v>0.18070926624223782</v>
      </c>
    </row>
    <row r="79" spans="1:6" s="100" customFormat="1" ht="26.25">
      <c r="A79" s="39" t="s">
        <v>74</v>
      </c>
      <c r="B79" s="33">
        <v>13266421.15</v>
      </c>
      <c r="C79" s="33">
        <v>14437869</v>
      </c>
      <c r="D79" s="33">
        <v>14545560</v>
      </c>
      <c r="E79" s="38">
        <f t="shared" si="6"/>
        <v>107691</v>
      </c>
      <c r="F79" s="34">
        <f t="shared" si="7"/>
        <v>0.007458926244586372</v>
      </c>
    </row>
    <row r="80" spans="1:6" s="100" customFormat="1" ht="26.25">
      <c r="A80" s="39" t="s">
        <v>75</v>
      </c>
      <c r="B80" s="29">
        <v>1851202.28</v>
      </c>
      <c r="C80" s="29">
        <v>3047911</v>
      </c>
      <c r="D80" s="29">
        <v>2696289</v>
      </c>
      <c r="E80" s="38">
        <f t="shared" si="6"/>
        <v>-351622</v>
      </c>
      <c r="F80" s="34">
        <f t="shared" si="7"/>
        <v>-0.11536491715145225</v>
      </c>
    </row>
    <row r="81" spans="1:6" s="102" customFormat="1" ht="26.25">
      <c r="A81" s="42" t="s">
        <v>76</v>
      </c>
      <c r="B81" s="61">
        <v>15343263.959999999</v>
      </c>
      <c r="C81" s="61">
        <v>17779351</v>
      </c>
      <c r="D81" s="61">
        <v>17588471</v>
      </c>
      <c r="E81" s="44">
        <f t="shared" si="6"/>
        <v>-190880</v>
      </c>
      <c r="F81" s="45">
        <f t="shared" si="7"/>
        <v>-0.0107360499266818</v>
      </c>
    </row>
    <row r="82" spans="1:6" s="100" customFormat="1" ht="26.25">
      <c r="A82" s="39" t="s">
        <v>77</v>
      </c>
      <c r="B82" s="29">
        <v>907193.22</v>
      </c>
      <c r="C82" s="29">
        <v>1315972</v>
      </c>
      <c r="D82" s="29">
        <v>973688</v>
      </c>
      <c r="E82" s="38">
        <f t="shared" si="6"/>
        <v>-342284</v>
      </c>
      <c r="F82" s="34">
        <f t="shared" si="7"/>
        <v>-0.2600997589614369</v>
      </c>
    </row>
    <row r="83" spans="1:6" s="100" customFormat="1" ht="26.25">
      <c r="A83" s="39" t="s">
        <v>78</v>
      </c>
      <c r="B83" s="38">
        <v>18767316.15</v>
      </c>
      <c r="C83" s="38">
        <v>15141008</v>
      </c>
      <c r="D83" s="38">
        <v>13660446</v>
      </c>
      <c r="E83" s="38">
        <f t="shared" si="6"/>
        <v>-1480562</v>
      </c>
      <c r="F83" s="34">
        <f t="shared" si="7"/>
        <v>-0.09778490309231723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284885.49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19959394.859999996</v>
      </c>
      <c r="C86" s="44">
        <v>16456980</v>
      </c>
      <c r="D86" s="44">
        <v>14634134</v>
      </c>
      <c r="E86" s="44">
        <f t="shared" si="6"/>
        <v>-1822846</v>
      </c>
      <c r="F86" s="45">
        <f t="shared" si="7"/>
        <v>-0.11076430791068592</v>
      </c>
    </row>
    <row r="87" spans="1:6" s="100" customFormat="1" ht="26.25">
      <c r="A87" s="39" t="s">
        <v>82</v>
      </c>
      <c r="B87" s="38">
        <v>705875.47</v>
      </c>
      <c r="C87" s="38">
        <v>938242</v>
      </c>
      <c r="D87" s="38">
        <v>220501</v>
      </c>
      <c r="E87" s="38">
        <f t="shared" si="6"/>
        <v>-717741</v>
      </c>
      <c r="F87" s="34">
        <f t="shared" si="7"/>
        <v>-0.7649849399195516</v>
      </c>
    </row>
    <row r="88" spans="1:6" s="100" customFormat="1" ht="26.25">
      <c r="A88" s="39" t="s">
        <v>83</v>
      </c>
      <c r="B88" s="38">
        <v>1298890.15</v>
      </c>
      <c r="C88" s="38">
        <v>1317798</v>
      </c>
      <c r="D88" s="38">
        <v>1321971</v>
      </c>
      <c r="E88" s="38">
        <f t="shared" si="6"/>
        <v>4173</v>
      </c>
      <c r="F88" s="34">
        <f t="shared" si="7"/>
        <v>0.0031666461779422945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2004765.6199999999</v>
      </c>
      <c r="C90" s="61">
        <v>2256040</v>
      </c>
      <c r="D90" s="61">
        <v>1542472</v>
      </c>
      <c r="E90" s="61">
        <f t="shared" si="6"/>
        <v>-713568</v>
      </c>
      <c r="F90" s="45">
        <f t="shared" si="7"/>
        <v>-0.3162922643215546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95283658.63</v>
      </c>
      <c r="C92" s="64">
        <v>99783275.32</v>
      </c>
      <c r="D92" s="64">
        <v>98929954.63</v>
      </c>
      <c r="E92" s="64">
        <f t="shared" si="6"/>
        <v>-853320.6899999976</v>
      </c>
      <c r="F92" s="65">
        <f t="shared" si="7"/>
        <v>-0.008551740632520236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PageLayoutView="0" workbookViewId="0" topLeftCell="A1">
      <selection activeCell="B8" sqref="B8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89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+LSU!B8+LSUA!B8+LSUS!B8+LSUE!B8++LSUHSCS!B8+LSUHSCNO!B8+LSUAg!B8+PBRC!B8</f>
        <v>342726391.0300001</v>
      </c>
      <c r="C8" s="33">
        <f>+LSU!C8+LSUA!C8+LSUS!C8+LSUE!C8++LSUHSCS!C8+LSUHSCNO!C8+LSUAg!C8+PBRC!C8</f>
        <v>342726391</v>
      </c>
      <c r="D8" s="33">
        <f>+LSU!D8+LSUA!D8+LSUS!D8+LSUE!D8++LSUHSCS!D8+LSUHSCNO!D8+LSUAg!D8+PBRC!D8</f>
        <v>350527829</v>
      </c>
      <c r="E8" s="33">
        <f aca="true" t="shared" si="0" ref="E8:E29">D8-C8</f>
        <v>7801438</v>
      </c>
      <c r="F8" s="34">
        <f aca="true" t="shared" si="1" ref="F8:F29">IF(ISBLANK(E8),"  ",IF(C8&gt;0,E8/C8,IF(E8&gt;0,1,0)))</f>
        <v>0.02276287500719488</v>
      </c>
    </row>
    <row r="9" spans="1:6" s="24" customFormat="1" ht="26.25">
      <c r="A9" s="32" t="s">
        <v>13</v>
      </c>
      <c r="B9" s="33">
        <f>+LSU!B9+LSUA!B9+LSUS!B9+LSUE!B9++LSUHSCS!B9+LSUHSCNO!B9+LSUAg!B9+PBRC!B9</f>
        <v>0</v>
      </c>
      <c r="C9" s="33">
        <f>+LSU!C9+LSUA!C9+LSUS!C9+LSUE!C9++LSUHSCS!C9+LSUHSCNO!C9+LSUAg!C9+PBRC!C9</f>
        <v>0</v>
      </c>
      <c r="D9" s="33">
        <f>+LSU!D9+LSUA!D9+LSUS!D9+LSUE!D9++LSUHSCS!D9+LSUHSCNO!D9+LSUAg!D9+PBRC!D9</f>
        <v>0</v>
      </c>
      <c r="E9" s="33">
        <f t="shared" si="0"/>
        <v>0</v>
      </c>
      <c r="F9" s="34">
        <f t="shared" si="1"/>
        <v>0</v>
      </c>
    </row>
    <row r="10" spans="1:6" s="24" customFormat="1" ht="26.25">
      <c r="A10" s="35" t="s">
        <v>14</v>
      </c>
      <c r="B10" s="33">
        <f>SUM(B11:B29)</f>
        <v>42179604.86</v>
      </c>
      <c r="C10" s="33">
        <f>SUM(C11:C29)</f>
        <v>50726262</v>
      </c>
      <c r="D10" s="33">
        <f>SUM(D11:D29)</f>
        <v>30476698</v>
      </c>
      <c r="E10" s="33">
        <f t="shared" si="0"/>
        <v>-20249564</v>
      </c>
      <c r="F10" s="34">
        <f t="shared" si="1"/>
        <v>-0.3991929072163843</v>
      </c>
    </row>
    <row r="11" spans="1:6" s="24" customFormat="1" ht="26.25">
      <c r="A11" s="37" t="s">
        <v>15</v>
      </c>
      <c r="B11" s="33">
        <f>+LSU!B11+LSUA!B11+LSUS!B11+LSUE!B11++LSUHSCS!B11+LSUHSCNO!B11+LSUAg!B11+PBRC!B11</f>
        <v>0</v>
      </c>
      <c r="C11" s="33">
        <f>+LSU!C11+LSUA!C11+LSUS!C11+LSUE!C11++LSUHSCS!C11+LSUHSCNO!C11+LSUAg!C11+PBRC!C11</f>
        <v>0</v>
      </c>
      <c r="D11" s="33">
        <f>+LSU!D11+LSUA!D11+LSUS!D11+LSUE!D11++LSUHSCS!D11+LSUHSCNO!D11+LSUAg!D11+PBRC!D11</f>
        <v>0</v>
      </c>
      <c r="E11" s="33">
        <f t="shared" si="0"/>
        <v>0</v>
      </c>
      <c r="F11" s="34">
        <f t="shared" si="1"/>
        <v>0</v>
      </c>
    </row>
    <row r="12" spans="1:6" s="24" customFormat="1" ht="26.25">
      <c r="A12" s="39" t="s">
        <v>16</v>
      </c>
      <c r="B12" s="33">
        <f>+LSU!B12+LSUA!B12+LSUS!B12+LSUE!B12++LSUHSCS!B12+LSUHSCNO!B12+LSUAg!B12+PBRC!B12</f>
        <v>17988932.1</v>
      </c>
      <c r="C12" s="33">
        <f>+LSU!C12+LSUA!C12+LSUS!C12+LSUE!C12++LSUHSCS!C12+LSUHSCNO!C12+LSUAg!C12+PBRC!C12</f>
        <v>20754362</v>
      </c>
      <c r="D12" s="33">
        <f>+LSU!D12+LSUA!D12+LSUS!D12+LSUE!D12++LSUHSCS!D12+LSUHSCNO!D12+LSUAg!D12+PBRC!D12</f>
        <v>20128504</v>
      </c>
      <c r="E12" s="33">
        <f t="shared" si="0"/>
        <v>-625858</v>
      </c>
      <c r="F12" s="34">
        <f t="shared" si="1"/>
        <v>-0.03015549213220816</v>
      </c>
    </row>
    <row r="13" spans="1:6" s="24" customFormat="1" ht="26.25">
      <c r="A13" s="39" t="s">
        <v>17</v>
      </c>
      <c r="B13" s="33">
        <f>+LSU!B13+LSUA!B13+LSUS!B13+LSUE!B13++LSUHSCS!B13+LSUHSCNO!B13+LSUAg!B13+PBRC!B13</f>
        <v>19978593.01</v>
      </c>
      <c r="C13" s="33">
        <f>+LSU!C13+LSUA!C13+LSUS!C13+LSUE!C13++LSUHSCS!C13+LSUHSCNO!C13+LSUAg!C13+PBRC!C13</f>
        <v>25611900</v>
      </c>
      <c r="D13" s="33">
        <f>+LSU!D13+LSUA!D13+LSUS!D13+LSUE!D13++LSUHSCS!D13+LSUHSCNO!D13+LSUAg!D13+PBRC!D13</f>
        <v>6017842</v>
      </c>
      <c r="E13" s="33">
        <f t="shared" si="0"/>
        <v>-19594058</v>
      </c>
      <c r="F13" s="34">
        <f t="shared" si="1"/>
        <v>-0.765037267832531</v>
      </c>
    </row>
    <row r="14" spans="1:6" s="24" customFormat="1" ht="26.25">
      <c r="A14" s="39" t="s">
        <v>18</v>
      </c>
      <c r="B14" s="33">
        <f>+LSU!B14+LSUA!B14+LSUS!B14+LSUE!B14++LSUHSCS!B14+LSUHSCNO!B14+LSUAg!B14+PBRC!B14</f>
        <v>0</v>
      </c>
      <c r="C14" s="33">
        <f>+LSU!C14+LSUA!C14+LSUS!C14+LSUE!C14++LSUHSCS!C14+LSUHSCNO!C14+LSUAg!C14+PBRC!C14</f>
        <v>0</v>
      </c>
      <c r="D14" s="33">
        <f>+LSU!D14+LSUA!D14+LSUS!D14+LSUE!D14++LSUHSCS!D14+LSUHSCNO!D14+LSUAg!D14+PBRC!D14</f>
        <v>0</v>
      </c>
      <c r="E14" s="33">
        <f t="shared" si="0"/>
        <v>0</v>
      </c>
      <c r="F14" s="34">
        <f t="shared" si="1"/>
        <v>0</v>
      </c>
    </row>
    <row r="15" spans="1:6" s="24" customFormat="1" ht="26.25">
      <c r="A15" s="39" t="s">
        <v>19</v>
      </c>
      <c r="B15" s="33">
        <f>+LSU!B15+LSUA!B15+LSUS!B15+LSUE!B15++LSUHSCS!B15+LSUHSCNO!B15+LSUAg!B15+PBRC!B15</f>
        <v>0</v>
      </c>
      <c r="C15" s="33">
        <f>+LSU!C15+LSUA!C15+LSUS!C15+LSUE!C15++LSUHSCS!C15+LSUHSCNO!C15+LSUAg!C15+PBRC!C15</f>
        <v>0</v>
      </c>
      <c r="D15" s="33">
        <f>+LSU!D15+LSUA!D15+LSUS!D15+LSUE!D15++LSUHSCS!D15+LSUHSCNO!D15+LSUAg!D15+PBRC!D15</f>
        <v>0</v>
      </c>
      <c r="E15" s="33">
        <f t="shared" si="0"/>
        <v>0</v>
      </c>
      <c r="F15" s="34">
        <f t="shared" si="1"/>
        <v>0</v>
      </c>
    </row>
    <row r="16" spans="1:6" s="24" customFormat="1" ht="26.25">
      <c r="A16" s="39" t="s">
        <v>20</v>
      </c>
      <c r="B16" s="33">
        <f>+LSU!B16+LSUA!B16+LSUS!B16+LSUE!B16++LSUHSCS!B16+LSUHSCNO!B16+LSUAg!B16+PBRC!B16</f>
        <v>0</v>
      </c>
      <c r="C16" s="33">
        <f>+LSU!C16+LSUA!C16+LSUS!C16+LSUE!C16++LSUHSCS!C16+LSUHSCNO!C16+LSUAg!C16+PBRC!C16</f>
        <v>0</v>
      </c>
      <c r="D16" s="33">
        <f>+LSU!D16+LSUA!D16+LSUS!D16+LSUE!D16++LSUHSCS!D16+LSUHSCNO!D16+LSUAg!D16+PBRC!D16</f>
        <v>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+LSU!B17+LSUA!B17+LSUS!B17+LSUE!B17++LSUHSCS!B17+LSUHSCNO!B17+LSUAg!B17+PBRC!B17</f>
        <v>0</v>
      </c>
      <c r="C17" s="33">
        <f>+LSU!C17+LSUA!C17+LSUS!C17+LSUE!C17++LSUHSCS!C17+LSUHSCNO!C17+LSUAg!C17+PBRC!C17</f>
        <v>0</v>
      </c>
      <c r="D17" s="33">
        <f>+LSU!D17+LSUA!D17+LSUS!D17+LSUE!D17++LSUHSCS!D17+LSUHSCNO!D17+LSUAg!D17+PBRC!D17</f>
        <v>0</v>
      </c>
      <c r="E17" s="33">
        <f t="shared" si="0"/>
        <v>0</v>
      </c>
      <c r="F17" s="34">
        <f t="shared" si="1"/>
        <v>0</v>
      </c>
    </row>
    <row r="18" spans="1:6" s="24" customFormat="1" ht="26.25">
      <c r="A18" s="39" t="s">
        <v>22</v>
      </c>
      <c r="B18" s="33">
        <f>+LSU!B18+LSUA!B18+LSUS!B18+LSUE!B18++LSUHSCS!B18+LSUHSCNO!B18+LSUAg!B18+PBRC!B18</f>
        <v>750000</v>
      </c>
      <c r="C18" s="33">
        <f>+LSU!C18+LSUA!C18+LSUS!C18+LSUE!C18++LSUHSCS!C18+LSUHSCNO!C18+LSUAg!C18+PBRC!C18</f>
        <v>750000</v>
      </c>
      <c r="D18" s="33">
        <f>+LSU!D18+LSUA!D18+LSUS!D18+LSUE!D18++LSUHSCS!D18+LSUHSCNO!D18+LSUAg!D18+PBRC!D18</f>
        <v>750000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+LSU!B19+LSUA!B19+LSUS!B19+LSUE!B19++LSUHSCS!B19+LSUHSCNO!B19+LSUAg!B19+PBRC!B19</f>
        <v>3252079.75</v>
      </c>
      <c r="C19" s="33">
        <f>+LSU!C19+LSUA!C19+LSUS!C19+LSUE!C19++LSUHSCS!C19+LSUHSCNO!C19+LSUAg!C19+PBRC!C19</f>
        <v>3400000</v>
      </c>
      <c r="D19" s="33">
        <f>+LSU!D19+LSUA!D19+LSUS!D19+LSUE!D19++LSUHSCS!D19+LSUHSCNO!D19+LSUAg!D19+PBRC!D19</f>
        <v>3370352</v>
      </c>
      <c r="E19" s="33">
        <f t="shared" si="0"/>
        <v>-29648</v>
      </c>
      <c r="F19" s="34">
        <f t="shared" si="1"/>
        <v>-0.00872</v>
      </c>
    </row>
    <row r="20" spans="1:6" s="24" customFormat="1" ht="26.25">
      <c r="A20" s="39" t="s">
        <v>24</v>
      </c>
      <c r="B20" s="33">
        <f>+LSU!B20+LSUA!B20+LSUS!B20+LSUE!B20++LSUHSCS!B20+LSUHSCNO!B20+LSUAg!B20+PBRC!B20</f>
        <v>210000</v>
      </c>
      <c r="C20" s="33">
        <f>+LSU!C20+LSUA!C20+LSUS!C20+LSUE!C20++LSUHSCS!C20+LSUHSCNO!C20+LSUAg!C20+PBRC!C20</f>
        <v>210000</v>
      </c>
      <c r="D20" s="33">
        <f>+LSU!D20+LSUA!D20+LSUS!D20+LSUE!D20++LSUHSCS!D20+LSUHSCNO!D20+LSUAg!D20+PBRC!D20</f>
        <v>210000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+LSU!B21+LSUA!B21+LSUS!B21+LSUE!B21++LSUHSCS!B21+LSUHSCNO!B21+LSUAg!B21+PBRC!B21</f>
        <v>0</v>
      </c>
      <c r="C21" s="33">
        <f>+LSU!C21+LSUA!C21+LSUS!C21+LSUE!C21++LSUHSCS!C21+LSUHSCNO!C21+LSUAg!C21+PBRC!C21</f>
        <v>0</v>
      </c>
      <c r="D21" s="33">
        <f>+LSU!D21+LSUA!D21+LSUS!D21+LSUE!D21++LSUHSCS!D21+LSUHSCNO!D21+LSUAg!D21+PBRC!D21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+LSU!B22+LSUA!B22+LSUS!B22+LSUE!B22++LSUHSCS!B22+LSUHSCNO!B22+LSUAg!B22+PBRC!B22</f>
        <v>0</v>
      </c>
      <c r="C22" s="33">
        <f>+LSU!C22+LSUA!C22+LSUS!C22+LSUE!C22++LSUHSCS!C22+LSUHSCNO!C22+LSUAg!C22+PBRC!C22</f>
        <v>0</v>
      </c>
      <c r="D22" s="33">
        <f>+LSU!D22+LSUA!D22+LSUS!D22+LSUE!D22++LSUHSCS!D22+LSUHSCNO!D22+LSUAg!D22+PBRC!D22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+LSU!B23+LSUA!B23+LSUS!B23+LSUE!B23++LSUHSCS!B23+LSUHSCNO!B23+LSUAg!B23+PBRC!B23</f>
        <v>0</v>
      </c>
      <c r="C23" s="33">
        <f>+LSU!C23+LSUA!C23+LSUS!C23+LSUE!C23++LSUHSCS!C23+LSUHSCNO!C23+LSUAg!C23+PBRC!C23</f>
        <v>0</v>
      </c>
      <c r="D23" s="33">
        <f>+LSU!D23+LSUA!D23+LSUS!D23+LSUE!D23++LSUHSCS!D23+LSUHSCNO!D23+LSUAg!D23+PBRC!D23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+LSU!B24+LSUA!B24+LSUS!B24+LSUE!B24++LSUHSCS!B24+LSUHSCNO!B24+LSUAg!B24+PBRC!B24</f>
        <v>0</v>
      </c>
      <c r="C24" s="33">
        <f>+LSU!C24+LSUA!C24+LSUS!C24+LSUE!C24++LSUHSCS!C24+LSUHSCNO!C24+LSUAg!C24+PBRC!C24</f>
        <v>0</v>
      </c>
      <c r="D24" s="33">
        <f>+LSU!D24+LSUA!D24+LSUS!D24+LSUE!D24++LSUHSCS!D24+LSUHSCNO!D24+LSUAg!D24+PBRC!D24</f>
        <v>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+LSU!B25+LSUA!B25+LSUS!B25+LSUE!B25++LSUHSCS!B25+LSUHSCNO!B25+LSUAg!B25+PBRC!B25</f>
        <v>0</v>
      </c>
      <c r="C25" s="33">
        <f>+LSU!C25+LSUA!C25+LSUS!C25+LSUE!C25++LSUHSCS!C25+LSUHSCNO!C25+LSUAg!C25+PBRC!C25</f>
        <v>0</v>
      </c>
      <c r="D25" s="33">
        <f>+LSU!D25+LSUA!D25+LSUS!D25+LSUE!D25++LSUHSCS!D25+LSUHSCNO!D25+LSUAg!D25+PBRC!D25</f>
        <v>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+LSU!B26+LSUA!B26+LSUS!B26+LSUE!B26++LSUHSCS!B26+LSUHSCNO!B26+LSUAg!B26+PBRC!B26</f>
        <v>0</v>
      </c>
      <c r="C26" s="33">
        <f>+LSU!C26+LSUA!C26+LSUS!C26+LSUE!C26++LSUHSCS!C26+LSUHSCNO!C26+LSUAg!C26+PBRC!C26</f>
        <v>0</v>
      </c>
      <c r="D26" s="33">
        <f>+LSU!D26+LSUA!D26+LSUS!D26+LSUE!D26++LSUHSCS!D26+LSUHSCNO!D26+LSUAg!D26+PBRC!D26</f>
        <v>0</v>
      </c>
      <c r="E26" s="33">
        <f t="shared" si="0"/>
        <v>0</v>
      </c>
      <c r="F26" s="34">
        <f t="shared" si="1"/>
        <v>0</v>
      </c>
    </row>
    <row r="27" spans="1:6" s="24" customFormat="1" ht="26.25">
      <c r="A27" s="40" t="s">
        <v>31</v>
      </c>
      <c r="B27" s="33">
        <f>+LSU!B27+LSUA!B27+LSUS!B27+LSUE!B27++LSUHSCS!B27+LSUHSCNO!B27+LSUAg!B27+PBRC!B27</f>
        <v>0</v>
      </c>
      <c r="C27" s="33">
        <f>+LSU!C27+LSUA!C27+LSUS!C27+LSUE!C27++LSUHSCS!C27+LSUHSCNO!C27+LSUAg!C27+PBRC!C27</f>
        <v>0</v>
      </c>
      <c r="D27" s="33">
        <f>+LSU!D27+LSUA!D27+LSUS!D27+LSUE!D27++LSUHSCS!D27+LSUHSCNO!D27+LSUAg!D27+PBRC!D27</f>
        <v>0</v>
      </c>
      <c r="E27" s="33">
        <f t="shared" si="0"/>
        <v>0</v>
      </c>
      <c r="F27" s="34">
        <f t="shared" si="1"/>
        <v>0</v>
      </c>
    </row>
    <row r="28" spans="1:6" s="24" customFormat="1" ht="26.25">
      <c r="A28" s="40" t="s">
        <v>87</v>
      </c>
      <c r="B28" s="33">
        <f>+LSU!B28+LSUA!B28+LSUS!B28+LSUE!B28++LSUHSCS!B28+LSUHSCNO!B28+LSUAg!B28+PBRC!B28</f>
        <v>0</v>
      </c>
      <c r="C28" s="33">
        <f>+LSU!C28+LSUA!C28+LSUS!C28+LSUE!C28++LSUHSCS!C28+LSUHSCNO!C28+LSUAg!C28+PBRC!C28</f>
        <v>0</v>
      </c>
      <c r="D28" s="33">
        <f>+LSU!D28+LSUA!D28+LSUS!D28+LSUE!D28++LSUHSCS!D28+LSUHSCNO!D28+LSUAg!D28+PBRC!D28</f>
        <v>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+LSU!B29+LSUA!B29+LSUS!B29+LSUE!B29++LSUHSCS!B29+LSUHSCNO!B29+LSUAg!B29+PBRC!B29</f>
        <v>0</v>
      </c>
      <c r="C29" s="33">
        <f>+LSU!C29+LSUA!C29+LSUS!C29+LSUE!C29++LSUHSCS!C29+LSUHSCNO!C29+LSUAg!C29+PBRC!C29</f>
        <v>0</v>
      </c>
      <c r="D29" s="33">
        <f>+LSU!D29+LSUA!D29+LSUS!D29+LSUE!D29++LSUHSCS!D29+LSUHSCNO!D29+LSUAg!D29+PBRC!D29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+LSU!B31+LSUA!B31+LSUS!B31+LSUE!B31++LSUHSCS!B31+LSUHSCNO!B31+LSUAg!B31+PBRC!B31</f>
        <v>0</v>
      </c>
      <c r="C31" s="33">
        <f>+LSU!C31+LSUA!C31+LSUS!C31+LSUE!C31++LSUHSCS!C31+LSUHSCNO!C31+LSUAg!C31+PBRC!C31</f>
        <v>0</v>
      </c>
      <c r="D31" s="33">
        <f>+LSU!D31+LSUA!D31+LSUS!D31+LSUE!D31++LSUHSCS!D31+LSUHSCNO!D31+LSUAg!D31+PBRC!D31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+LSU!B33+LSUA!B33+LSUS!B33+LSUE!B33++LSUHSCS!B33+LSUHSCNO!B33+LSUAg!B33+PBRC!B33</f>
        <v>0</v>
      </c>
      <c r="C33" s="33">
        <f>+LSU!C33+LSUA!C33+LSUS!C33+LSUE!C33++LSUHSCS!C33+LSUHSCNO!C33+LSUAg!C33+PBRC!C33</f>
        <v>0</v>
      </c>
      <c r="D33" s="33">
        <f>+LSU!D33+LSUA!D33+LSUS!D33+LSUE!D33++LSUHSCS!D33+LSUHSCNO!D33+LSUAg!D33+PBRC!D33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24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6" s="46" customFormat="1" ht="26.25">
      <c r="A35" s="43" t="s">
        <v>38</v>
      </c>
      <c r="B35" s="67">
        <f>B33+B31+B10+B9+B8</f>
        <v>384905995.8900001</v>
      </c>
      <c r="C35" s="67">
        <f>C33+C31+C10+C9+C8</f>
        <v>393452653</v>
      </c>
      <c r="D35" s="67">
        <f>D33+D31+D10+D9+D8</f>
        <v>381004527</v>
      </c>
      <c r="E35" s="52">
        <f>D35-C35</f>
        <v>-12448126</v>
      </c>
      <c r="F35" s="45">
        <f>IF(ISBLANK(E35),"  ",IF(C35&gt;0,E35/C35,IF(E35&gt;0,1,0)))</f>
        <v>-0.03163818036321641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+LSU!B37+LSUA!B37+LSUS!B37+LSUE!B37++LSUHSCS!B37+LSUHSCNO!B37+LSUAg!B37+PBRC!B37</f>
        <v>0</v>
      </c>
      <c r="C37" s="33">
        <f>+LSU!C37+LSUA!C37+LSUS!C37+LSUE!C37++LSUHSCS!C37+LSUHSCNO!C37+LSUAg!C37+PBRC!C37</f>
        <v>0</v>
      </c>
      <c r="D37" s="33">
        <f>+LSU!D37+LSUA!D37+LSUS!D37+LSUE!D37++LSUHSCS!D37+LSUHSCNO!D37+LSUAg!D37+PBRC!D37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+LSU!B38+LSUA!B38+LSUS!B38+LSUE!B38++LSUHSCS!B38+LSUHSCNO!B38+LSUAg!B38+PBRC!B38</f>
        <v>0</v>
      </c>
      <c r="C38" s="33">
        <f>+LSU!C38+LSUA!C38+LSUS!C38+LSUE!C38++LSUHSCS!C38+LSUHSCNO!C38+LSUAg!C38+PBRC!C38</f>
        <v>0</v>
      </c>
      <c r="D38" s="33">
        <f>+LSU!D38+LSUA!D38+LSUS!D38+LSUE!D38++LSUHSCS!D38+LSUHSCNO!D38+LSUAg!D38+PBRC!D38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+LSU!B39+LSUA!B39+LSUS!B39+LSUE!B39++LSUHSCS!B39+LSUHSCNO!B39+LSUAg!B39+PBRC!B39</f>
        <v>0</v>
      </c>
      <c r="C39" s="33">
        <f>+LSU!C39+LSUA!C39+LSUS!C39+LSUE!C39++LSUHSCS!C39+LSUHSCNO!C39+LSUAg!C39+PBRC!C39</f>
        <v>0</v>
      </c>
      <c r="D39" s="33">
        <f>+LSU!D39+LSUA!D39+LSUS!D39+LSUE!D39++LSUHSCS!D39+LSUHSCNO!D39+LSUAg!D39+PBRC!D39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+LSU!B40+LSUA!B40+LSUS!B40+LSUE!B40++LSUHSCS!B40+LSUHSCNO!B40+LSUAg!B40+PBRC!B40</f>
        <v>0</v>
      </c>
      <c r="C40" s="33">
        <f>+LSU!C40+LSUA!C40+LSUS!C40+LSUE!C40++LSUHSCS!C40+LSUHSCNO!C40+LSUAg!C40+PBRC!C40</f>
        <v>0</v>
      </c>
      <c r="D40" s="33">
        <f>+LSU!D40+LSUA!D40+LSUS!D40+LSUE!D40++LSUHSCS!D40+LSUHSCNO!D40+LSUAg!D40+PBRC!D40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+LSU!B41+LSUA!B41+LSUS!B41+LSUE!B41++LSUHSCS!B41+LSUHSCNO!B41+LSUAg!B41+PBRC!B41</f>
        <v>0</v>
      </c>
      <c r="C41" s="33">
        <f>+LSU!C41+LSUA!C41+LSUS!C41+LSUE!C41++LSUHSCS!C41+LSUHSCNO!C41+LSUAg!C41+PBRC!C41</f>
        <v>0</v>
      </c>
      <c r="D41" s="33">
        <f>+LSU!D41+LSUA!D41+LSUS!D41+LSUE!D41++LSUHSCS!D41+LSUHSCNO!D41+LSUAg!D41+PBRC!D41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SUM(B37:B41)</f>
        <v>0</v>
      </c>
      <c r="C42" s="52">
        <f>SUM(C37:C41)</f>
        <v>0</v>
      </c>
      <c r="D42" s="52">
        <f>SUM(D37:D41)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+LSU!B44+LSUA!B44+LSUS!B44+LSUE!B44++LSUHSCS!B44+LSUHSCNO!B44+LSUAg!B44+PBRC!B44</f>
        <v>7490868</v>
      </c>
      <c r="C44" s="52">
        <f>+LSU!C44+LSUA!C44+LSUS!C44+LSUE!C44++LSUHSCS!C44+LSUHSCNO!C44+LSUAg!C44+PBRC!C44</f>
        <v>7480850</v>
      </c>
      <c r="D44" s="52">
        <f>+LSU!D44+LSUA!D44+LSUS!D44+LSUE!D44++LSUHSCS!D44+LSUHSCNO!D44+LSUAg!D44+PBRC!D44</f>
        <v>7522893</v>
      </c>
      <c r="E44" s="52">
        <f>D44-C44</f>
        <v>42043</v>
      </c>
      <c r="F44" s="45">
        <f>IF(ISBLANK(E44),"  ",IF(C44&gt;0,E44/C44,IF(E44&gt;0,1,0)))</f>
        <v>0.005620083279306496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+LSU!B46+LSUA!B46+LSUS!B46+LSUE!B46++LSUHSCS!B46+LSUHSCNO!B46+LSUAg!B46+PBRC!B46</f>
        <v>0</v>
      </c>
      <c r="C46" s="52">
        <f>+LSU!C46+LSUA!C46+LSUS!C46+LSUE!C46++LSUHSCS!C46+LSUHSCNO!C46+LSUAg!C46+PBRC!C46</f>
        <v>0</v>
      </c>
      <c r="D46" s="52">
        <f>+LSU!D46+LSUA!D46+LSUS!D46+LSUE!D46++LSUHSCS!D46+LSUHSCNO!D46+LSUAg!D46+PBRC!D46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+LSU!B48+LSUA!B48+LSUS!B48+LSUE!B48++LSUHSCS!B48+LSUHSCNO!B48+LSUAg!B48+PBRC!B48</f>
        <v>527273981.67</v>
      </c>
      <c r="C48" s="52">
        <f>+LSU!C48+LSUA!C48+LSUS!C48+LSUE!C48++LSUHSCS!C48+LSUHSCNO!C48+LSUAg!C48+PBRC!C48</f>
        <v>536559335</v>
      </c>
      <c r="D48" s="52">
        <f>+LSU!D48+LSUA!D48+LSUS!D48+LSUE!D48++LSUHSCS!D48+LSUHSCNO!D48+LSUAg!D48+PBRC!D48</f>
        <v>553389254</v>
      </c>
      <c r="E48" s="52">
        <f>D48-C48</f>
        <v>16829919</v>
      </c>
      <c r="F48" s="45">
        <f>IF(ISBLANK(E48),"  ",IF(C48&gt;0,E48/C48,IF(E48&gt;0,1,0)))</f>
        <v>0.03136637069225531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+LSU!B50+LSUA!B50+LSUS!B50+LSUE!B50++LSUHSCS!B50+LSUHSCNO!B50+LSUAg!B50+PBRC!B50</f>
        <v>9758657</v>
      </c>
      <c r="C50" s="52">
        <f>+LSU!C50+LSUA!C50+LSUS!C50+LSUE!C50++LSUHSCS!C50+LSUHSCNO!C50+LSUAg!C50+PBRC!C50</f>
        <v>13018275</v>
      </c>
      <c r="D50" s="52">
        <f>+LSU!D50+LSUA!D50+LSUS!D50+LSUE!D50++LSUHSCS!D50+LSUHSCNO!D50+LSUAg!D50+PBRC!D50</f>
        <v>13018275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+LSU!B52+LSUA!B52+LSUS!B52+LSUE!B52++LSUHSCS!B52+LSUHSCNO!B52+LSUAg!B52+PBRC!B52</f>
        <v>0</v>
      </c>
      <c r="C52" s="52">
        <f>+LSU!C52+LSUA!C52+LSUS!C52+LSUE!C52++LSUHSCS!C52+LSUHSCNO!C52+LSUAg!C52+PBRC!C52</f>
        <v>0</v>
      </c>
      <c r="D52" s="52">
        <f>+LSU!D52+LSUA!D52+LSUS!D52+LSUE!D52++LSUHSCS!D52+LSUHSCNO!D52+LSUAg!D52+PBRC!D52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+LSU!B54+LSUA!B54+LSUS!B54+LSUE!B54++LSUHSCS!B54+LSUHSCNO!B54+LSUAg!B54+PBRC!B54</f>
        <v>929429503.5600001</v>
      </c>
      <c r="C54" s="52">
        <f>+LSU!C54+LSUA!C54+LSUS!C54+LSUE!C54++LSUHSCS!C54+LSUHSCNO!C54+LSUAg!C54+PBRC!C54</f>
        <v>950511113</v>
      </c>
      <c r="D54" s="52">
        <f>+LSU!D54+LSUA!D54+LSUS!D54+LSUE!D54++LSUHSCS!D54+LSUHSCNO!D54+LSUAg!D54+PBRC!D54</f>
        <v>954934949</v>
      </c>
      <c r="E54" s="52">
        <f>D54-C54</f>
        <v>4423836</v>
      </c>
      <c r="F54" s="45">
        <f>IF(ISBLANK(E54),"  ",IF(C54&gt;0,E54/C54,IF(E54&gt;0,1,0)))</f>
        <v>0.004654165468973323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+LSU!B58+LSUA!B58+LSUS!B58+LSUE!B58++LSUHSCS!B58+LSUHSCNO!B58+LSUAg!B58+PBRC!B58</f>
        <v>319609106.93000007</v>
      </c>
      <c r="C58" s="33">
        <f>+LSU!C58+LSUA!C58+LSUS!C58+LSUE!C58++LSUHSCS!C58+LSUHSCNO!C58+LSUAg!C58+PBRC!C58</f>
        <v>324595598</v>
      </c>
      <c r="D58" s="33">
        <f>+LSU!D58+LSUA!D58+LSUS!D58+LSUE!D58++LSUHSCS!D58+LSUHSCNO!D58+LSUAg!D58+PBRC!D58</f>
        <v>331517569</v>
      </c>
      <c r="E58" s="33">
        <f aca="true" t="shared" si="4" ref="E58:E71">D58-C58</f>
        <v>6921971</v>
      </c>
      <c r="F58" s="34">
        <f aca="true" t="shared" si="5" ref="F58:F71">IF(ISBLANK(E58),"  ",IF(C58&gt;0,E58/C58,IF(E58&gt;0,1,0)))</f>
        <v>0.02132490718497051</v>
      </c>
    </row>
    <row r="59" spans="1:6" s="24" customFormat="1" ht="26.25">
      <c r="A59" s="39" t="s">
        <v>55</v>
      </c>
      <c r="B59" s="33">
        <f>+LSU!B59+LSUA!B59+LSUS!B59+LSUE!B59++LSUHSCS!B59+LSUHSCNO!B59+LSUAg!B59+PBRC!B59</f>
        <v>132369616.44692299</v>
      </c>
      <c r="C59" s="33">
        <f>+LSU!C59+LSUA!C59+LSUS!C59+LSUE!C59++LSUHSCS!C59+LSUHSCNO!C59+LSUAg!C59+PBRC!C59</f>
        <v>139449731</v>
      </c>
      <c r="D59" s="33">
        <f>+LSU!D59+LSUA!D59+LSUS!D59+LSUE!D59++LSUHSCS!D59+LSUHSCNO!D59+LSUAg!D59+PBRC!D59</f>
        <v>131700292.90535502</v>
      </c>
      <c r="E59" s="33">
        <f t="shared" si="4"/>
        <v>-7749438.094644979</v>
      </c>
      <c r="F59" s="34">
        <f t="shared" si="5"/>
        <v>-0.055571552838958</v>
      </c>
    </row>
    <row r="60" spans="1:6" s="24" customFormat="1" ht="26.25">
      <c r="A60" s="39" t="s">
        <v>56</v>
      </c>
      <c r="B60" s="33">
        <f>+LSU!B60+LSUA!B60+LSUS!B60+LSUE!B60++LSUHSCS!B60+LSUHSCNO!B60+LSUAg!B60+PBRC!B60</f>
        <v>41532567.36312945</v>
      </c>
      <c r="C60" s="33">
        <f>+LSU!C60+LSUA!C60+LSUS!C60+LSUE!C60++LSUHSCS!C60+LSUHSCNO!C60+LSUAg!C60+PBRC!C60</f>
        <v>44360798</v>
      </c>
      <c r="D60" s="33">
        <f>+LSU!D60+LSUA!D60+LSUS!D60+LSUE!D60++LSUHSCS!D60+LSUHSCNO!D60+LSUAg!D60+PBRC!D60</f>
        <v>38599160.010859765</v>
      </c>
      <c r="E60" s="33">
        <f t="shared" si="4"/>
        <v>-5761637.989140235</v>
      </c>
      <c r="F60" s="34">
        <f t="shared" si="5"/>
        <v>-0.12988129720164715</v>
      </c>
    </row>
    <row r="61" spans="1:6" s="24" customFormat="1" ht="26.25">
      <c r="A61" s="39" t="s">
        <v>57</v>
      </c>
      <c r="B61" s="33">
        <f>+LSU!B61+LSUA!B61+LSUS!B61+LSUE!B61++LSUHSCS!B61+LSUHSCNO!B61+LSUAg!B61+PBRC!B61</f>
        <v>106084071.02010214</v>
      </c>
      <c r="C61" s="33">
        <f>+LSU!C61+LSUA!C61+LSUS!C61+LSUE!C61++LSUHSCS!C61+LSUHSCNO!C61+LSUAg!C61+PBRC!C61</f>
        <v>105641527</v>
      </c>
      <c r="D61" s="33">
        <f>+LSU!D61+LSUA!D61+LSUS!D61+LSUE!D61++LSUHSCS!D61+LSUHSCNO!D61+LSUAg!D61+PBRC!D61</f>
        <v>108597934.00079185</v>
      </c>
      <c r="E61" s="33">
        <f t="shared" si="4"/>
        <v>2956407.0007918477</v>
      </c>
      <c r="F61" s="34">
        <f t="shared" si="5"/>
        <v>0.027985273260882036</v>
      </c>
    </row>
    <row r="62" spans="1:6" s="24" customFormat="1" ht="26.25">
      <c r="A62" s="39" t="s">
        <v>58</v>
      </c>
      <c r="B62" s="33">
        <f>+LSU!B62+LSUA!B62+LSUS!B62+LSUE!B62++LSUHSCS!B62+LSUHSCNO!B62+LSUAg!B62+PBRC!B62</f>
        <v>26978632.83</v>
      </c>
      <c r="C62" s="33">
        <f>+LSU!C62+LSUA!C62+LSUS!C62+LSUE!C62++LSUHSCS!C62+LSUHSCNO!C62+LSUAg!C62+PBRC!C62</f>
        <v>26234229</v>
      </c>
      <c r="D62" s="33">
        <f>+LSU!D62+LSUA!D62+LSUS!D62+LSUE!D62++LSUHSCS!D62+LSUHSCNO!D62+LSUAg!D62+PBRC!D62</f>
        <v>26570952</v>
      </c>
      <c r="E62" s="33">
        <f t="shared" si="4"/>
        <v>336723</v>
      </c>
      <c r="F62" s="34">
        <f t="shared" si="5"/>
        <v>0.012835254277913027</v>
      </c>
    </row>
    <row r="63" spans="1:6" s="24" customFormat="1" ht="26.25">
      <c r="A63" s="39" t="s">
        <v>59</v>
      </c>
      <c r="B63" s="33">
        <f>+LSU!B63+LSUA!B63+LSUS!B63+LSUE!B63++LSUHSCS!B63+LSUHSCNO!B63+LSUAg!B63+PBRC!B63</f>
        <v>99425855.36689714</v>
      </c>
      <c r="C63" s="33">
        <f>+LSU!C63+LSUA!C63+LSUS!C63+LSUE!C63++LSUHSCS!C63+LSUHSCNO!C63+LSUAg!C63+PBRC!C63</f>
        <v>96146956</v>
      </c>
      <c r="D63" s="33">
        <f>+LSU!D63+LSUA!D63+LSUS!D63+LSUE!D63++LSUHSCS!D63+LSUHSCNO!D63+LSUAg!D63+PBRC!D63</f>
        <v>109717941.98160514</v>
      </c>
      <c r="E63" s="33">
        <f t="shared" si="4"/>
        <v>13570985.981605142</v>
      </c>
      <c r="F63" s="34">
        <f t="shared" si="5"/>
        <v>0.14114836856202856</v>
      </c>
    </row>
    <row r="64" spans="1:6" s="24" customFormat="1" ht="26.25">
      <c r="A64" s="39" t="s">
        <v>60</v>
      </c>
      <c r="B64" s="33">
        <f>+LSU!B64+LSUA!B64+LSUS!B64+LSUE!B64++LSUHSCS!B64+LSUHSCNO!B64+LSUAg!B64+PBRC!B64</f>
        <v>89219927.57999998</v>
      </c>
      <c r="C64" s="33">
        <f>+LSU!C64+LSUA!C64+LSUS!C64+LSUE!C64++LSUHSCS!C64+LSUHSCNO!C64+LSUAg!C64+PBRC!C64</f>
        <v>95999573</v>
      </c>
      <c r="D64" s="33">
        <f>+LSU!D64+LSUA!D64+LSUS!D64+LSUE!D64++LSUHSCS!D64+LSUHSCNO!D64+LSUAg!D64+PBRC!D64</f>
        <v>95257664</v>
      </c>
      <c r="E64" s="33">
        <f t="shared" si="4"/>
        <v>-741909</v>
      </c>
      <c r="F64" s="34">
        <f t="shared" si="5"/>
        <v>-0.007728253124625877</v>
      </c>
    </row>
    <row r="65" spans="1:6" s="24" customFormat="1" ht="26.25">
      <c r="A65" s="39" t="s">
        <v>61</v>
      </c>
      <c r="B65" s="33">
        <f>+LSU!B65+LSUA!B65+LSUS!B65+LSUE!B65++LSUHSCS!B65+LSUHSCNO!B65+LSUAg!B65+PBRC!B65</f>
        <v>103096761.10531181</v>
      </c>
      <c r="C65" s="33">
        <f>+LSU!C65+LSUA!C65+LSUS!C65+LSUE!C65++LSUHSCS!C65+LSUHSCNO!C65+LSUAg!C65+PBRC!C65</f>
        <v>107472920</v>
      </c>
      <c r="D65" s="33">
        <f>+LSU!D65+LSUA!D65+LSUS!D65+LSUE!D65++LSUHSCS!D65+LSUHSCNO!D65+LSUAg!D65+PBRC!D65</f>
        <v>108798103.06106576</v>
      </c>
      <c r="E65" s="33">
        <f t="shared" si="4"/>
        <v>1325183.0610657632</v>
      </c>
      <c r="F65" s="34">
        <f t="shared" si="5"/>
        <v>0.012330390400351672</v>
      </c>
    </row>
    <row r="66" spans="1:6" s="46" customFormat="1" ht="26.25">
      <c r="A66" s="59" t="s">
        <v>62</v>
      </c>
      <c r="B66" s="52">
        <f>SUM(B58:B65)</f>
        <v>918316538.6423638</v>
      </c>
      <c r="C66" s="52">
        <f>SUM(C58:C65)</f>
        <v>939901332</v>
      </c>
      <c r="D66" s="52">
        <f>SUM(D58:D65)</f>
        <v>950759616.9596777</v>
      </c>
      <c r="E66" s="52">
        <f t="shared" si="4"/>
        <v>10858284.959677696</v>
      </c>
      <c r="F66" s="45">
        <f t="shared" si="5"/>
        <v>0.011552579605959849</v>
      </c>
    </row>
    <row r="67" spans="1:6" s="24" customFormat="1" ht="26.25">
      <c r="A67" s="39" t="s">
        <v>63</v>
      </c>
      <c r="B67" s="33">
        <f>+LSU!B67+LSUA!B67+LSUS!B67+LSUE!B67++LSUHSCS!B67+LSUHSCNO!B67+LSUAg!B67+PBRC!B67</f>
        <v>5671211.04</v>
      </c>
      <c r="C67" s="33">
        <f>+LSU!C67+LSUA!C67+LSUS!C67+LSUE!C67++LSUHSCS!C67+LSUHSCNO!C67+LSUAg!C67+PBRC!C67</f>
        <v>5461792</v>
      </c>
      <c r="D67" s="33">
        <f>+LSU!D67+LSUA!D67+LSUS!D67+LSUE!D67++LSUHSCS!D67+LSUHSCNO!D67+LSUAg!D67+PBRC!D67</f>
        <v>5017515</v>
      </c>
      <c r="E67" s="33">
        <f t="shared" si="4"/>
        <v>-444277</v>
      </c>
      <c r="F67" s="34">
        <f t="shared" si="5"/>
        <v>-0.0813427168226106</v>
      </c>
    </row>
    <row r="68" spans="1:6" s="24" customFormat="1" ht="26.25">
      <c r="A68" s="39" t="s">
        <v>64</v>
      </c>
      <c r="B68" s="33">
        <f>+LSU!B68+LSUA!B68+LSUS!B68+LSUE!B68++LSUHSCS!B68+LSUHSCNO!B68+LSUAg!B68+PBRC!B68</f>
        <v>5169921.86</v>
      </c>
      <c r="C68" s="33">
        <f>+LSU!C68+LSUA!C68+LSUS!C68+LSUE!C68++LSUHSCS!C68+LSUHSCNO!C68+LSUAg!C68+PBRC!C68</f>
        <v>5048808</v>
      </c>
      <c r="D68" s="33">
        <f>+LSU!D68+LSUA!D68+LSUS!D68+LSUE!D68++LSUHSCS!D68+LSUHSCNO!D68+LSUAg!D68+PBRC!D68</f>
        <v>-857182</v>
      </c>
      <c r="E68" s="33">
        <f t="shared" si="4"/>
        <v>-5905990</v>
      </c>
      <c r="F68" s="34">
        <f t="shared" si="5"/>
        <v>-1.1697790844888536</v>
      </c>
    </row>
    <row r="69" spans="1:6" s="24" customFormat="1" ht="26.25">
      <c r="A69" s="39" t="s">
        <v>65</v>
      </c>
      <c r="B69" s="33">
        <f>+LSU!B69+LSUA!B69+LSUS!B69+LSUE!B69++LSUHSCS!B69+LSUHSCNO!B69+LSUAg!B69+PBRC!B69</f>
        <v>0</v>
      </c>
      <c r="C69" s="33">
        <f>+LSU!C69+LSUA!C69+LSUS!C69+LSUE!C69++LSUHSCS!C69+LSUHSCNO!C69+LSUAg!C69+PBRC!C69</f>
        <v>0</v>
      </c>
      <c r="D69" s="33">
        <f>+LSU!D69+LSUA!D69+LSUS!D69+LSUE!D69++LSUHSCS!D69+LSUHSCNO!D69+LSUAg!D69+PBRC!D69</f>
        <v>0</v>
      </c>
      <c r="E69" s="33">
        <f t="shared" si="4"/>
        <v>0</v>
      </c>
      <c r="F69" s="34">
        <f t="shared" si="5"/>
        <v>0</v>
      </c>
    </row>
    <row r="70" spans="1:6" s="24" customFormat="1" ht="26.25">
      <c r="A70" s="39" t="s">
        <v>66</v>
      </c>
      <c r="B70" s="33">
        <f>+LSU!B70+LSUA!B70+LSUS!B70+LSUE!B70++LSUHSCS!B70+LSUHSCNO!B70+LSUAg!B70+PBRC!B70</f>
        <v>271831.61</v>
      </c>
      <c r="C70" s="33">
        <f>+LSU!C70+LSUA!C70+LSUS!C70+LSUE!C70++LSUHSCS!C70+LSUHSCNO!C70+LSUAg!C70+PBRC!C70</f>
        <v>99181</v>
      </c>
      <c r="D70" s="33">
        <f>+LSU!D70+LSUA!D70+LSUS!D70+LSUE!D70++LSUHSCS!D70+LSUHSCNO!D70+LSUAg!D70+PBRC!D70</f>
        <v>15000</v>
      </c>
      <c r="E70" s="33">
        <f t="shared" si="4"/>
        <v>-84181</v>
      </c>
      <c r="F70" s="34">
        <f t="shared" si="5"/>
        <v>-0.8487613555015577</v>
      </c>
    </row>
    <row r="71" spans="1:6" s="46" customFormat="1" ht="26.25">
      <c r="A71" s="60" t="s">
        <v>67</v>
      </c>
      <c r="B71" s="52">
        <f>SUM(B66:B70)+1</f>
        <v>929429504.1523638</v>
      </c>
      <c r="C71" s="52">
        <f>SUM(C66:C70)</f>
        <v>950511113</v>
      </c>
      <c r="D71" s="52">
        <f>SUM(D66:D70)-1</f>
        <v>954934948.9596777</v>
      </c>
      <c r="E71" s="52">
        <f t="shared" si="4"/>
        <v>4423835.959677696</v>
      </c>
      <c r="F71" s="45">
        <f t="shared" si="5"/>
        <v>0.004654165426551616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+LSU!B74+LSUA!B74+LSUS!B74+LSUE!B74++LSUHSCS!B74+LSUHSCNO!B74+LSUAg!B74+PBRC!B74</f>
        <v>418727047.52</v>
      </c>
      <c r="C74" s="33">
        <f>+LSU!C74+LSUA!C74+LSUS!C74+LSUE!C74++LSUHSCS!C74+LSUHSCNO!C74+LSUAg!C74+PBRC!C74</f>
        <v>439631859</v>
      </c>
      <c r="D74" s="33">
        <f>+LSU!D74+LSUA!D74+LSUS!D74+LSUE!D74++LSUHSCS!D74+LSUHSCNO!D74+LSUAg!D74+PBRC!D74</f>
        <v>451383757</v>
      </c>
      <c r="E74" s="33">
        <f aca="true" t="shared" si="6" ref="E74:E92">D74-C74</f>
        <v>11751898</v>
      </c>
      <c r="F74" s="34">
        <f aca="true" t="shared" si="7" ref="F74:F92">IF(ISBLANK(E74),"  ",IF(C74&gt;0,E74/C74,IF(E74&gt;0,1,0)))</f>
        <v>0.026731224681330476</v>
      </c>
    </row>
    <row r="75" spans="1:6" s="24" customFormat="1" ht="26.25">
      <c r="A75" s="39" t="s">
        <v>70</v>
      </c>
      <c r="B75" s="33">
        <f>+LSU!B75+LSUA!B75+LSUS!B75+LSUE!B75++LSUHSCS!B75+LSUHSCNO!B75+LSUAg!B75+PBRC!B75</f>
        <v>43070625.379999995</v>
      </c>
      <c r="C75" s="33">
        <f>+LSU!C75+LSUA!C75+LSUS!C75+LSUE!C75++LSUHSCS!C75+LSUHSCNO!C75+LSUAg!C75+PBRC!C75</f>
        <v>35433105</v>
      </c>
      <c r="D75" s="33">
        <f>+LSU!D75+LSUA!D75+LSUS!D75+LSUE!D75++LSUHSCS!D75+LSUHSCNO!D75+LSUAg!D75+PBRC!D75</f>
        <v>36839954</v>
      </c>
      <c r="E75" s="33">
        <f t="shared" si="6"/>
        <v>1406849</v>
      </c>
      <c r="F75" s="34">
        <f t="shared" si="7"/>
        <v>0.03970436686257103</v>
      </c>
    </row>
    <row r="76" spans="1:6" s="24" customFormat="1" ht="26.25">
      <c r="A76" s="39" t="s">
        <v>71</v>
      </c>
      <c r="B76" s="33">
        <f>+LSU!B76+LSUA!B76+LSUS!B76+LSUE!B76++LSUHSCS!B76+LSUHSCNO!B76+LSUAg!B76+PBRC!B76</f>
        <v>184237094.40236354</v>
      </c>
      <c r="C76" s="33">
        <f>+LSU!C76+LSUA!C76+LSUS!C76+LSUE!C76++LSUHSCS!C76+LSUHSCNO!C76+LSUAg!C76+PBRC!C76</f>
        <v>197609447</v>
      </c>
      <c r="D76" s="33">
        <f>+LSU!D76+LSUA!D76+LSUS!D76+LSUE!D76++LSUHSCS!D76+LSUHSCNO!D76+LSUAg!D76+PBRC!D76</f>
        <v>204610959.95967755</v>
      </c>
      <c r="E76" s="33">
        <f t="shared" si="6"/>
        <v>7001512.959677547</v>
      </c>
      <c r="F76" s="34">
        <f t="shared" si="7"/>
        <v>0.035431063979838716</v>
      </c>
    </row>
    <row r="77" spans="1:6" s="46" customFormat="1" ht="26.25">
      <c r="A77" s="59" t="s">
        <v>72</v>
      </c>
      <c r="B77" s="52">
        <f>SUM(B74:B76)</f>
        <v>646034767.3023635</v>
      </c>
      <c r="C77" s="52">
        <f>SUM(C74:C76)</f>
        <v>672674411</v>
      </c>
      <c r="D77" s="52">
        <f>SUM(D74:D76)</f>
        <v>692834670.9596776</v>
      </c>
      <c r="E77" s="52">
        <f t="shared" si="6"/>
        <v>20160259.959677577</v>
      </c>
      <c r="F77" s="45">
        <f t="shared" si="7"/>
        <v>0.02997030900834665</v>
      </c>
    </row>
    <row r="78" spans="1:6" s="24" customFormat="1" ht="26.25">
      <c r="A78" s="39" t="s">
        <v>73</v>
      </c>
      <c r="B78" s="33">
        <f>+LSU!B78+LSUA!B78+LSUS!B78+LSUE!B78++LSUHSCS!B78+LSUHSCNO!B78+LSUAg!B78+PBRC!B78</f>
        <v>5706064.78</v>
      </c>
      <c r="C78" s="33">
        <f>+LSU!C78+LSUA!C78+LSUS!C78+LSUE!C78++LSUHSCS!C78+LSUHSCNO!C78+LSUAg!C78+PBRC!C78</f>
        <v>7003908</v>
      </c>
      <c r="D78" s="33">
        <f>+LSU!D78+LSUA!D78+LSUS!D78+LSUE!D78++LSUHSCS!D78+LSUHSCNO!D78+LSUAg!D78+PBRC!D78</f>
        <v>5779465</v>
      </c>
      <c r="E78" s="33">
        <f t="shared" si="6"/>
        <v>-1224443</v>
      </c>
      <c r="F78" s="34">
        <f t="shared" si="7"/>
        <v>-0.17482282748431305</v>
      </c>
    </row>
    <row r="79" spans="1:6" s="24" customFormat="1" ht="26.25">
      <c r="A79" s="39" t="s">
        <v>74</v>
      </c>
      <c r="B79" s="33">
        <f>+LSU!B79+LSUA!B79+LSUS!B79+LSUE!B79++LSUHSCS!B79+LSUHSCNO!B79+LSUAg!B79+PBRC!B79</f>
        <v>73345795.9</v>
      </c>
      <c r="C79" s="33">
        <f>+LSU!C79+LSUA!C79+LSUS!C79+LSUE!C79++LSUHSCS!C79+LSUHSCNO!C79+LSUAg!C79+PBRC!C79</f>
        <v>83601900</v>
      </c>
      <c r="D79" s="33">
        <f>+LSU!D79+LSUA!D79+LSUS!D79+LSUE!D79++LSUHSCS!D79+LSUHSCNO!D79+LSUAg!D79+PBRC!D79</f>
        <v>94138796</v>
      </c>
      <c r="E79" s="33">
        <f t="shared" si="6"/>
        <v>10536896</v>
      </c>
      <c r="F79" s="34">
        <f t="shared" si="7"/>
        <v>0.1260365613700167</v>
      </c>
    </row>
    <row r="80" spans="1:6" s="24" customFormat="1" ht="26.25">
      <c r="A80" s="39" t="s">
        <v>75</v>
      </c>
      <c r="B80" s="33">
        <f>+LSU!B80+LSUA!B80+LSUS!B80+LSUE!B80++LSUHSCS!B80+LSUHSCNO!B80+LSUAg!B80+PBRC!B80</f>
        <v>33724566.36</v>
      </c>
      <c r="C80" s="33">
        <f>+LSU!C80+LSUA!C80+LSUS!C80+LSUE!C80++LSUHSCS!C80+LSUHSCNO!C80+LSUAg!C80+PBRC!C80</f>
        <v>28224802</v>
      </c>
      <c r="D80" s="33">
        <f>+LSU!D80+LSUA!D80+LSUS!D80+LSUE!D80++LSUHSCS!D80+LSUHSCNO!D80+LSUAg!D80+PBRC!D80</f>
        <v>27167996</v>
      </c>
      <c r="E80" s="33">
        <f t="shared" si="6"/>
        <v>-1056806</v>
      </c>
      <c r="F80" s="34">
        <f t="shared" si="7"/>
        <v>-0.037442459295197184</v>
      </c>
    </row>
    <row r="81" spans="1:6" s="46" customFormat="1" ht="26.25">
      <c r="A81" s="42" t="s">
        <v>76</v>
      </c>
      <c r="B81" s="52">
        <f>SUM(B78:B80)</f>
        <v>112776427.04</v>
      </c>
      <c r="C81" s="52">
        <f>SUM(C78:C80)</f>
        <v>118830610</v>
      </c>
      <c r="D81" s="52">
        <f>SUM(D78:D80)</f>
        <v>127086257</v>
      </c>
      <c r="E81" s="52">
        <f t="shared" si="6"/>
        <v>8255647</v>
      </c>
      <c r="F81" s="45">
        <f t="shared" si="7"/>
        <v>0.06947407742836631</v>
      </c>
    </row>
    <row r="82" spans="1:6" s="24" customFormat="1" ht="26.25">
      <c r="A82" s="39" t="s">
        <v>77</v>
      </c>
      <c r="B82" s="33">
        <f>+LSU!B82+LSUA!B82+LSUS!B82+LSUE!B82++LSUHSCS!B82+LSUHSCNO!B82+LSUAg!B82+PBRC!B82</f>
        <v>21159633.110000003</v>
      </c>
      <c r="C82" s="33">
        <f>+LSU!C82+LSUA!C82+LSUS!C82+LSUE!C82++LSUHSCS!C82+LSUHSCNO!C82+LSUAg!C82+PBRC!C82</f>
        <v>7154897</v>
      </c>
      <c r="D82" s="33">
        <f>+LSU!D82+LSUA!D82+LSUS!D82+LSUE!D82++LSUHSCS!D82+LSUHSCNO!D82+LSUAg!D82+PBRC!D82</f>
        <v>12361142</v>
      </c>
      <c r="E82" s="33">
        <f t="shared" si="6"/>
        <v>5206245</v>
      </c>
      <c r="F82" s="34">
        <f t="shared" si="7"/>
        <v>0.7276477914357118</v>
      </c>
    </row>
    <row r="83" spans="1:6" s="24" customFormat="1" ht="26.25">
      <c r="A83" s="39" t="s">
        <v>78</v>
      </c>
      <c r="B83" s="33">
        <f>+LSU!B83+LSUA!B83+LSUS!B83+LSUE!B83++LSUHSCS!B83+LSUHSCNO!B83+LSUAg!B83+PBRC!B83</f>
        <v>114529466.82</v>
      </c>
      <c r="C83" s="33">
        <f>+LSU!C83+LSUA!C83+LSUS!C83+LSUE!C83++LSUHSCS!C83+LSUHSCNO!C83+LSUAg!C83+PBRC!C83</f>
        <v>121366465</v>
      </c>
      <c r="D83" s="33">
        <f>+LSU!D83+LSUA!D83+LSUS!D83+LSUE!D83++LSUHSCS!D83+LSUHSCNO!D83+LSUAg!D83+PBRC!D83</f>
        <v>98096156</v>
      </c>
      <c r="E83" s="33">
        <f t="shared" si="6"/>
        <v>-23270309</v>
      </c>
      <c r="F83" s="34">
        <f t="shared" si="7"/>
        <v>-0.1917359049717729</v>
      </c>
    </row>
    <row r="84" spans="1:6" s="24" customFormat="1" ht="26.25">
      <c r="A84" s="39" t="s">
        <v>79</v>
      </c>
      <c r="B84" s="33">
        <f>+LSU!B84+LSUA!B84+LSUS!B84+LSUE!B84++LSUHSCS!B84+LSUHSCNO!B84+LSUAg!B84+PBRC!B84</f>
        <v>112820</v>
      </c>
      <c r="C84" s="33">
        <f>+LSU!C84+LSUA!C84+LSUS!C84+LSUE!C84++LSUHSCS!C84+LSUHSCNO!C84+LSUAg!C84+PBRC!C84</f>
        <v>263394</v>
      </c>
      <c r="D84" s="33">
        <f>+LSU!D84+LSUA!D84+LSUS!D84+LSUE!D84++LSUHSCS!D84+LSUHSCNO!D84+LSUAg!D84+PBRC!D84</f>
        <v>262514</v>
      </c>
      <c r="E84" s="33">
        <f t="shared" si="6"/>
        <v>-880</v>
      </c>
      <c r="F84" s="34">
        <f t="shared" si="7"/>
        <v>-0.0033410024525995278</v>
      </c>
    </row>
    <row r="85" spans="1:6" s="24" customFormat="1" ht="26.25">
      <c r="A85" s="39" t="s">
        <v>80</v>
      </c>
      <c r="B85" s="33">
        <f>+LSU!B85+LSUA!B85+LSUS!B85+LSUE!B85++LSUHSCS!B85+LSUHSCNO!B85+LSUAg!B85+PBRC!B85</f>
        <v>18411819.82</v>
      </c>
      <c r="C85" s="33">
        <f>+LSU!C85+LSUA!C85+LSUS!C85+LSUE!C85++LSUHSCS!C85+LSUHSCNO!C85+LSUAg!C85+PBRC!C85</f>
        <v>19176108</v>
      </c>
      <c r="D85" s="33">
        <f>+LSU!D85+LSUA!D85+LSUS!D85+LSUE!D85++LSUHSCS!D85+LSUHSCNO!D85+LSUAg!D85+PBRC!D85</f>
        <v>17986053</v>
      </c>
      <c r="E85" s="33">
        <f t="shared" si="6"/>
        <v>-1190055</v>
      </c>
      <c r="F85" s="34">
        <f t="shared" si="7"/>
        <v>-0.062059256236979894</v>
      </c>
    </row>
    <row r="86" spans="1:6" s="46" customFormat="1" ht="26.25">
      <c r="A86" s="42" t="s">
        <v>81</v>
      </c>
      <c r="B86" s="52">
        <f>SUM(B82:B85)</f>
        <v>154213739.75</v>
      </c>
      <c r="C86" s="52">
        <f>SUM(C82:C85)</f>
        <v>147960864</v>
      </c>
      <c r="D86" s="52">
        <f>SUM(D82:D85)</f>
        <v>128705865</v>
      </c>
      <c r="E86" s="52">
        <f t="shared" si="6"/>
        <v>-19254999</v>
      </c>
      <c r="F86" s="45">
        <f t="shared" si="7"/>
        <v>-0.13013575670928768</v>
      </c>
    </row>
    <row r="87" spans="1:6" s="24" customFormat="1" ht="26.25">
      <c r="A87" s="39" t="s">
        <v>82</v>
      </c>
      <c r="B87" s="33">
        <f>+LSU!B87+LSUA!B87+LSUS!B87+LSUE!B87++LSUHSCS!B87+LSUHSCNO!B87+LSUAg!B87+PBRC!B87</f>
        <v>13236878.89</v>
      </c>
      <c r="C87" s="33">
        <f>+LSU!C87+LSUA!C87+LSUS!C87+LSUE!C87++LSUHSCS!C87+LSUHSCNO!C87+LSUAg!C87+PBRC!C87</f>
        <v>7170080</v>
      </c>
      <c r="D87" s="33">
        <f>+LSU!D87+LSUA!D87+LSUS!D87+LSUE!D87++LSUHSCS!D87+LSUHSCNO!D87+LSUAg!D87+PBRC!D87</f>
        <v>5071319</v>
      </c>
      <c r="E87" s="33">
        <f t="shared" si="6"/>
        <v>-2098761</v>
      </c>
      <c r="F87" s="34">
        <f t="shared" si="7"/>
        <v>-0.2927109599892888</v>
      </c>
    </row>
    <row r="88" spans="1:6" s="24" customFormat="1" ht="26.25">
      <c r="A88" s="39" t="s">
        <v>83</v>
      </c>
      <c r="B88" s="33">
        <f>+LSU!B88+LSUA!B88+LSUS!B88+LSUE!B88++LSUHSCS!B88+LSUHSCNO!B88+LSUAg!B88+PBRC!B88</f>
        <v>750852.04</v>
      </c>
      <c r="C88" s="33">
        <f>+LSU!C88+LSUA!C88+LSUS!C88+LSUE!C88++LSUHSCS!C88+LSUHSCNO!C88+LSUAg!C88+PBRC!C88</f>
        <v>3475148</v>
      </c>
      <c r="D88" s="33">
        <f>+LSU!D88+LSUA!D88+LSUS!D88+LSUE!D88++LSUHSCS!D88+LSUHSCNO!D88+LSUAg!D88+PBRC!D88</f>
        <v>1236838</v>
      </c>
      <c r="E88" s="33">
        <f t="shared" si="6"/>
        <v>-2238310</v>
      </c>
      <c r="F88" s="34">
        <f t="shared" si="7"/>
        <v>-0.6440905538411601</v>
      </c>
    </row>
    <row r="89" spans="1:6" s="24" customFormat="1" ht="26.25">
      <c r="A89" s="48" t="s">
        <v>84</v>
      </c>
      <c r="B89" s="33">
        <f>+LSU!B89+LSUA!B89+LSUS!B89+LSUE!B89++LSUHSCS!B89+LSUHSCNO!B89+LSUAg!B89+PBRC!B89</f>
        <v>2416838.2299999995</v>
      </c>
      <c r="C89" s="33">
        <f>+LSU!C89+LSUA!C89+LSUS!C89+LSUE!C89++LSUHSCS!C89+LSUHSCNO!C89+LSUAg!C89+PBRC!C89</f>
        <v>400000</v>
      </c>
      <c r="D89" s="33">
        <f>+LSU!D89+LSUA!D89+LSUS!D89+LSUE!D89++LSUHSCS!D89+LSUHSCNO!D89+LSUAg!D89+PBRC!D89</f>
        <v>0</v>
      </c>
      <c r="E89" s="33">
        <f t="shared" si="6"/>
        <v>-400000</v>
      </c>
      <c r="F89" s="34">
        <f t="shared" si="7"/>
        <v>-1</v>
      </c>
    </row>
    <row r="90" spans="1:6" s="46" customFormat="1" ht="26.25">
      <c r="A90" s="62" t="s">
        <v>85</v>
      </c>
      <c r="B90" s="52">
        <f>SUM(B87:B89)</f>
        <v>16404569.16</v>
      </c>
      <c r="C90" s="52">
        <f>SUM(C87:C89)</f>
        <v>11045228</v>
      </c>
      <c r="D90" s="52">
        <f>SUM(D87:D89)</f>
        <v>6308157</v>
      </c>
      <c r="E90" s="52">
        <f t="shared" si="6"/>
        <v>-4737071</v>
      </c>
      <c r="F90" s="45">
        <f t="shared" si="7"/>
        <v>-0.4288794219548931</v>
      </c>
    </row>
    <row r="91" spans="1:6" s="24" customFormat="1" ht="26.25">
      <c r="A91" s="48" t="s">
        <v>86</v>
      </c>
      <c r="B91" s="33">
        <f>+LSU!B91+LSUA!B91+LSUS!B91+LSUE!B91++LSUHSCS!B91+LSUHSCNO!B91+LSUAg!B91+PBRC!B91</f>
        <v>0</v>
      </c>
      <c r="C91" s="33">
        <f>+LSU!C91+LSUA!C91+LSUS!C91+LSUE!C91++LSUHSCS!C91+LSUHSCNO!C91+LSUAg!C91+PBRC!C91</f>
        <v>0</v>
      </c>
      <c r="D91" s="33">
        <f>+LSU!D91+LSUA!D91+LSUS!D91+LSUE!D91++LSUHSCS!D91+LSUHSCNO!D91+LSUAg!D91+PBRC!D91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85">
        <f>B91+B90+B86+B81+B77+1</f>
        <v>929429504.2523634</v>
      </c>
      <c r="C92" s="85">
        <f>C91+C90+C86+C81+C77</f>
        <v>950511113</v>
      </c>
      <c r="D92" s="85">
        <f>D91+D90+D86+D81+D77-1</f>
        <v>954934948.9596776</v>
      </c>
      <c r="E92" s="68">
        <f t="shared" si="6"/>
        <v>4423835.959677577</v>
      </c>
      <c r="F92" s="69">
        <f t="shared" si="7"/>
        <v>0.00465416542655149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  <row r="97" ht="15.75">
      <c r="A97" s="2" t="s">
        <v>46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2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1" sqref="B1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10" t="s">
        <v>1</v>
      </c>
      <c r="E1" s="1" t="s">
        <v>120</v>
      </c>
      <c r="F1" s="96"/>
      <c r="G1" s="66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112116701</v>
      </c>
      <c r="C8" s="33">
        <v>112116701</v>
      </c>
      <c r="D8" s="33">
        <v>115513766</v>
      </c>
      <c r="E8" s="33">
        <f aca="true" t="shared" si="0" ref="E8:E29">D8-C8</f>
        <v>3397065</v>
      </c>
      <c r="F8" s="34">
        <f aca="true" t="shared" si="1" ref="F8:F29">IF(ISBLANK(E8),"  ",IF(C8&gt;0,E8/C8,IF(E8&gt;0,1,0)))</f>
        <v>0.030299366371830724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12151760.75</v>
      </c>
      <c r="C10" s="36">
        <v>13520244</v>
      </c>
      <c r="D10" s="36">
        <v>13214363</v>
      </c>
      <c r="E10" s="36">
        <f t="shared" si="0"/>
        <v>-305881</v>
      </c>
      <c r="F10" s="34">
        <f t="shared" si="1"/>
        <v>-0.022623926017903227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7939681</v>
      </c>
      <c r="C12" s="38">
        <v>9160244</v>
      </c>
      <c r="D12" s="38">
        <v>8884011</v>
      </c>
      <c r="E12" s="36">
        <f t="shared" si="0"/>
        <v>-276233</v>
      </c>
      <c r="F12" s="34">
        <f t="shared" si="1"/>
        <v>-0.03015563777558764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750000</v>
      </c>
      <c r="C18" s="38">
        <v>750000</v>
      </c>
      <c r="D18" s="38">
        <v>750000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3252079.75</v>
      </c>
      <c r="C19" s="38">
        <v>3400000</v>
      </c>
      <c r="D19" s="38">
        <v>3370352</v>
      </c>
      <c r="E19" s="36">
        <f t="shared" si="0"/>
        <v>-29648</v>
      </c>
      <c r="F19" s="34">
        <f t="shared" si="1"/>
        <v>-0.00872</v>
      </c>
    </row>
    <row r="20" spans="1:6" s="100" customFormat="1" ht="26.25">
      <c r="A20" s="39" t="s">
        <v>24</v>
      </c>
      <c r="B20" s="38">
        <v>210000</v>
      </c>
      <c r="C20" s="38">
        <v>210000</v>
      </c>
      <c r="D20" s="38">
        <v>210000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124268461.75</v>
      </c>
      <c r="C35" s="44">
        <v>125636945</v>
      </c>
      <c r="D35" s="44">
        <v>128728129</v>
      </c>
      <c r="E35" s="44">
        <f>D35-C35</f>
        <v>3091184</v>
      </c>
      <c r="F35" s="45">
        <f>IF(ISBLANK(E35),"  ",IF(C35&gt;0,E35/C35,IF(E35&gt;0,1,0)))</f>
        <v>0.024604100330519817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7" s="102" customFormat="1" ht="26.25">
      <c r="A44" s="51" t="s">
        <v>47</v>
      </c>
      <c r="B44" s="52">
        <v>7490868</v>
      </c>
      <c r="C44" s="52">
        <v>7480850</v>
      </c>
      <c r="D44" s="52">
        <v>7522893</v>
      </c>
      <c r="E44" s="52">
        <f>D44-C44</f>
        <v>42043</v>
      </c>
      <c r="F44" s="45">
        <f>IF(ISBLANK(E44),"  ",IF(C44&gt;0,E44/C44,IF(E44&gt;0,1,0)))</f>
        <v>0.005620083279306496</v>
      </c>
      <c r="G44" s="83"/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7" s="102" customFormat="1" ht="26.25">
      <c r="A48" s="41" t="s">
        <v>49</v>
      </c>
      <c r="B48" s="50">
        <v>392572221</v>
      </c>
      <c r="C48" s="50">
        <v>398646716</v>
      </c>
      <c r="D48" s="50">
        <v>413816716</v>
      </c>
      <c r="E48" s="50">
        <f>D48-C48</f>
        <v>15170000</v>
      </c>
      <c r="F48" s="45">
        <f>IF(ISBLANK(E48),"  ",IF(C48&gt;0,E48/C48,IF(E48&gt;0,1,0)))</f>
        <v>0.03805374380658387</v>
      </c>
      <c r="G48" s="83"/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524331550.75</v>
      </c>
      <c r="C54" s="50">
        <v>531764511</v>
      </c>
      <c r="D54" s="50">
        <v>550067738</v>
      </c>
      <c r="E54" s="50">
        <f>D54-C54</f>
        <v>18303227</v>
      </c>
      <c r="F54" s="45">
        <f>IF(ISBLANK(E54),"  ",IF(C54&gt;0,E54/C54,IF(E54&gt;0,1,0)))</f>
        <v>0.03441979790185735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203924107.56000006</v>
      </c>
      <c r="C58" s="29">
        <v>214977429</v>
      </c>
      <c r="D58" s="29">
        <v>222233906</v>
      </c>
      <c r="E58" s="29">
        <f aca="true" t="shared" si="4" ref="E58:E71">D58-C58</f>
        <v>7256477</v>
      </c>
      <c r="F58" s="34">
        <f aca="true" t="shared" si="5" ref="F58:F71">IF(ISBLANK(E58),"  ",IF(C58&gt;0,E58/C58,IF(E58&gt;0,1,0)))</f>
        <v>0.033754599418899925</v>
      </c>
    </row>
    <row r="59" spans="1:6" s="100" customFormat="1" ht="26.25">
      <c r="A59" s="39" t="s">
        <v>55</v>
      </c>
      <c r="B59" s="38">
        <v>59073099.93999999</v>
      </c>
      <c r="C59" s="38">
        <v>60313898</v>
      </c>
      <c r="D59" s="38">
        <v>62568403</v>
      </c>
      <c r="E59" s="38">
        <f t="shared" si="4"/>
        <v>2254505</v>
      </c>
      <c r="F59" s="34">
        <f t="shared" si="5"/>
        <v>0.03737952735205408</v>
      </c>
    </row>
    <row r="60" spans="1:6" s="100" customFormat="1" ht="26.25">
      <c r="A60" s="39" t="s">
        <v>56</v>
      </c>
      <c r="B60" s="38">
        <v>5257129.79</v>
      </c>
      <c r="C60" s="38">
        <v>3667947</v>
      </c>
      <c r="D60" s="38">
        <v>3836524</v>
      </c>
      <c r="E60" s="38">
        <f t="shared" si="4"/>
        <v>168577</v>
      </c>
      <c r="F60" s="34">
        <f t="shared" si="5"/>
        <v>0.045959497233738655</v>
      </c>
    </row>
    <row r="61" spans="1:6" s="100" customFormat="1" ht="26.25">
      <c r="A61" s="39" t="s">
        <v>57</v>
      </c>
      <c r="B61" s="38">
        <v>69709958.81</v>
      </c>
      <c r="C61" s="38">
        <v>67534255</v>
      </c>
      <c r="D61" s="38">
        <v>71612152</v>
      </c>
      <c r="E61" s="38">
        <f t="shared" si="4"/>
        <v>4077897</v>
      </c>
      <c r="F61" s="34">
        <f t="shared" si="5"/>
        <v>0.06038264581433526</v>
      </c>
    </row>
    <row r="62" spans="1:6" s="100" customFormat="1" ht="26.25">
      <c r="A62" s="39" t="s">
        <v>58</v>
      </c>
      <c r="B62" s="38">
        <v>16715981.440000001</v>
      </c>
      <c r="C62" s="38">
        <v>16475265</v>
      </c>
      <c r="D62" s="38">
        <v>17368205</v>
      </c>
      <c r="E62" s="38">
        <f t="shared" si="4"/>
        <v>892940</v>
      </c>
      <c r="F62" s="34">
        <f t="shared" si="5"/>
        <v>0.05419882472300142</v>
      </c>
    </row>
    <row r="63" spans="1:6" s="100" customFormat="1" ht="26.25">
      <c r="A63" s="39" t="s">
        <v>59</v>
      </c>
      <c r="B63" s="38">
        <v>35348322.669999994</v>
      </c>
      <c r="C63" s="38">
        <v>28951924</v>
      </c>
      <c r="D63" s="38">
        <v>28249761</v>
      </c>
      <c r="E63" s="38">
        <f t="shared" si="4"/>
        <v>-702163</v>
      </c>
      <c r="F63" s="34">
        <f t="shared" si="5"/>
        <v>-0.024252723238704275</v>
      </c>
    </row>
    <row r="64" spans="1:6" s="100" customFormat="1" ht="26.25">
      <c r="A64" s="39" t="s">
        <v>60</v>
      </c>
      <c r="B64" s="38">
        <v>78711433.44</v>
      </c>
      <c r="C64" s="38">
        <v>82882715</v>
      </c>
      <c r="D64" s="38">
        <v>84416686</v>
      </c>
      <c r="E64" s="38">
        <f t="shared" si="4"/>
        <v>1533971</v>
      </c>
      <c r="F64" s="34">
        <f t="shared" si="5"/>
        <v>0.018507731075170498</v>
      </c>
    </row>
    <row r="65" spans="1:6" s="100" customFormat="1" ht="26.25">
      <c r="A65" s="39" t="s">
        <v>61</v>
      </c>
      <c r="B65" s="38">
        <v>56884415.37000001</v>
      </c>
      <c r="C65" s="38">
        <v>58175664</v>
      </c>
      <c r="D65" s="38">
        <v>60901797</v>
      </c>
      <c r="E65" s="38">
        <f t="shared" si="4"/>
        <v>2726133</v>
      </c>
      <c r="F65" s="34">
        <f t="shared" si="5"/>
        <v>0.04686036759288214</v>
      </c>
    </row>
    <row r="66" spans="1:6" s="102" customFormat="1" ht="26.25">
      <c r="A66" s="59" t="s">
        <v>62</v>
      </c>
      <c r="B66" s="44">
        <v>525624449.02000004</v>
      </c>
      <c r="C66" s="44">
        <v>532979097</v>
      </c>
      <c r="D66" s="44">
        <v>551187434</v>
      </c>
      <c r="E66" s="44">
        <f t="shared" si="4"/>
        <v>18208337</v>
      </c>
      <c r="F66" s="45">
        <f t="shared" si="5"/>
        <v>0.03416332291921009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-1292898</v>
      </c>
      <c r="C68" s="38">
        <v>-1214586</v>
      </c>
      <c r="D68" s="38">
        <v>-1119696</v>
      </c>
      <c r="E68" s="38">
        <f t="shared" si="4"/>
        <v>94890</v>
      </c>
      <c r="F68" s="34">
        <f t="shared" si="5"/>
        <v>1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524331551.02000004</v>
      </c>
      <c r="C71" s="61">
        <v>531764511</v>
      </c>
      <c r="D71" s="61">
        <v>550067738</v>
      </c>
      <c r="E71" s="61">
        <f t="shared" si="4"/>
        <v>18303227</v>
      </c>
      <c r="F71" s="45">
        <f t="shared" si="5"/>
        <v>0.03441979790185735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239351554.55</v>
      </c>
      <c r="C74" s="33">
        <v>257297309</v>
      </c>
      <c r="D74" s="33">
        <v>270167507</v>
      </c>
      <c r="E74" s="29">
        <f aca="true" t="shared" si="6" ref="E74:E92">D74-C74</f>
        <v>12870198</v>
      </c>
      <c r="F74" s="34">
        <f aca="true" t="shared" si="7" ref="F74:F92">IF(ISBLANK(E74),"  ",IF(C74&gt;0,E74/C74,IF(E74&gt;0,1,0)))</f>
        <v>0.05002072524590609</v>
      </c>
    </row>
    <row r="75" spans="1:6" s="100" customFormat="1" ht="26.25">
      <c r="A75" s="39" t="s">
        <v>70</v>
      </c>
      <c r="B75" s="36">
        <v>31805009.38</v>
      </c>
      <c r="C75" s="36">
        <v>28672548</v>
      </c>
      <c r="D75" s="36">
        <v>29467976</v>
      </c>
      <c r="E75" s="38">
        <f t="shared" si="6"/>
        <v>795428</v>
      </c>
      <c r="F75" s="34">
        <f t="shared" si="7"/>
        <v>0.0277417967876451</v>
      </c>
    </row>
    <row r="76" spans="1:6" s="100" customFormat="1" ht="26.25">
      <c r="A76" s="39" t="s">
        <v>71</v>
      </c>
      <c r="B76" s="29">
        <v>100041939.40999998</v>
      </c>
      <c r="C76" s="29">
        <v>108528377</v>
      </c>
      <c r="D76" s="29">
        <v>108730177</v>
      </c>
      <c r="E76" s="38">
        <f t="shared" si="6"/>
        <v>201800</v>
      </c>
      <c r="F76" s="34">
        <f t="shared" si="7"/>
        <v>0.001859421522538755</v>
      </c>
    </row>
    <row r="77" spans="1:6" s="102" customFormat="1" ht="26.25">
      <c r="A77" s="59" t="s">
        <v>72</v>
      </c>
      <c r="B77" s="61">
        <v>371198503.34</v>
      </c>
      <c r="C77" s="61">
        <v>394498234</v>
      </c>
      <c r="D77" s="61">
        <v>408365660</v>
      </c>
      <c r="E77" s="44">
        <f t="shared" si="6"/>
        <v>13867426</v>
      </c>
      <c r="F77" s="45">
        <f t="shared" si="7"/>
        <v>0.035152061035588815</v>
      </c>
    </row>
    <row r="78" spans="1:6" s="100" customFormat="1" ht="26.25">
      <c r="A78" s="39" t="s">
        <v>73</v>
      </c>
      <c r="B78" s="36">
        <v>3684284.82</v>
      </c>
      <c r="C78" s="36">
        <v>3696084</v>
      </c>
      <c r="D78" s="36">
        <v>2596594</v>
      </c>
      <c r="E78" s="38">
        <f t="shared" si="6"/>
        <v>-1099490</v>
      </c>
      <c r="F78" s="34">
        <f t="shared" si="7"/>
        <v>-0.2974742998265191</v>
      </c>
    </row>
    <row r="79" spans="1:6" s="100" customFormat="1" ht="26.25">
      <c r="A79" s="39" t="s">
        <v>74</v>
      </c>
      <c r="B79" s="33">
        <v>25361070.71</v>
      </c>
      <c r="C79" s="33">
        <v>26829680</v>
      </c>
      <c r="D79" s="33">
        <v>35280869</v>
      </c>
      <c r="E79" s="38">
        <f t="shared" si="6"/>
        <v>8451189</v>
      </c>
      <c r="F79" s="34">
        <f t="shared" si="7"/>
        <v>0.3149940290007186</v>
      </c>
    </row>
    <row r="80" spans="1:6" s="100" customFormat="1" ht="26.25">
      <c r="A80" s="39" t="s">
        <v>75</v>
      </c>
      <c r="B80" s="29">
        <v>21081876.819999997</v>
      </c>
      <c r="C80" s="29">
        <v>13758638</v>
      </c>
      <c r="D80" s="29">
        <v>12515417</v>
      </c>
      <c r="E80" s="38">
        <f t="shared" si="6"/>
        <v>-1243221</v>
      </c>
      <c r="F80" s="34">
        <f t="shared" si="7"/>
        <v>-0.09035930736748797</v>
      </c>
    </row>
    <row r="81" spans="1:6" s="102" customFormat="1" ht="26.25">
      <c r="A81" s="42" t="s">
        <v>76</v>
      </c>
      <c r="B81" s="61">
        <v>50127232.349999994</v>
      </c>
      <c r="C81" s="61">
        <v>44284402</v>
      </c>
      <c r="D81" s="61">
        <v>50392880</v>
      </c>
      <c r="E81" s="44">
        <f t="shared" si="6"/>
        <v>6108478</v>
      </c>
      <c r="F81" s="45">
        <f t="shared" si="7"/>
        <v>0.13793746159200704</v>
      </c>
    </row>
    <row r="82" spans="1:6" s="100" customFormat="1" ht="26.25">
      <c r="A82" s="39" t="s">
        <v>77</v>
      </c>
      <c r="B82" s="29">
        <v>9270563.16</v>
      </c>
      <c r="C82" s="29">
        <v>2340537</v>
      </c>
      <c r="D82" s="29">
        <v>2249912</v>
      </c>
      <c r="E82" s="38">
        <f t="shared" si="6"/>
        <v>-90625</v>
      </c>
      <c r="F82" s="34">
        <f t="shared" si="7"/>
        <v>-0.03871974679315046</v>
      </c>
    </row>
    <row r="83" spans="1:6" s="100" customFormat="1" ht="26.25">
      <c r="A83" s="39" t="s">
        <v>78</v>
      </c>
      <c r="B83" s="38">
        <v>82743542.66</v>
      </c>
      <c r="C83" s="38">
        <v>83225068</v>
      </c>
      <c r="D83" s="38">
        <v>84355997</v>
      </c>
      <c r="E83" s="38">
        <f t="shared" si="6"/>
        <v>1130929</v>
      </c>
      <c r="F83" s="34">
        <f t="shared" si="7"/>
        <v>0.013588802354598256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898761</v>
      </c>
      <c r="C85" s="38">
        <v>903098</v>
      </c>
      <c r="D85" s="38">
        <v>855282</v>
      </c>
      <c r="E85" s="38">
        <f t="shared" si="6"/>
        <v>-47816</v>
      </c>
      <c r="F85" s="34">
        <f t="shared" si="7"/>
        <v>-0.0529466348059679</v>
      </c>
    </row>
    <row r="86" spans="1:6" s="102" customFormat="1" ht="26.25">
      <c r="A86" s="42" t="s">
        <v>81</v>
      </c>
      <c r="B86" s="44">
        <v>92912866.82</v>
      </c>
      <c r="C86" s="44">
        <v>86468703</v>
      </c>
      <c r="D86" s="44">
        <v>87461191</v>
      </c>
      <c r="E86" s="44">
        <f t="shared" si="6"/>
        <v>992488</v>
      </c>
      <c r="F86" s="45">
        <f t="shared" si="7"/>
        <v>0.011478002624834097</v>
      </c>
    </row>
    <row r="87" spans="1:6" s="100" customFormat="1" ht="26.25">
      <c r="A87" s="39" t="s">
        <v>82</v>
      </c>
      <c r="B87" s="38">
        <v>9380666.51</v>
      </c>
      <c r="C87" s="38">
        <v>5270951</v>
      </c>
      <c r="D87" s="38">
        <v>2889786</v>
      </c>
      <c r="E87" s="38">
        <f t="shared" si="6"/>
        <v>-2381165</v>
      </c>
      <c r="F87" s="34">
        <f t="shared" si="7"/>
        <v>-0.4517524446726976</v>
      </c>
    </row>
    <row r="88" spans="1:6" s="100" customFormat="1" ht="26.25">
      <c r="A88" s="39" t="s">
        <v>83</v>
      </c>
      <c r="B88" s="38">
        <v>712282</v>
      </c>
      <c r="C88" s="38">
        <v>1242221</v>
      </c>
      <c r="D88" s="38">
        <v>958221</v>
      </c>
      <c r="E88" s="38">
        <f t="shared" si="6"/>
        <v>-284000</v>
      </c>
      <c r="F88" s="34">
        <f t="shared" si="7"/>
        <v>-0.228622765192345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10092948.51</v>
      </c>
      <c r="C90" s="61">
        <v>6513172</v>
      </c>
      <c r="D90" s="61">
        <v>3848007</v>
      </c>
      <c r="E90" s="61">
        <f t="shared" si="6"/>
        <v>-2665165</v>
      </c>
      <c r="F90" s="45">
        <f t="shared" si="7"/>
        <v>-0.4091961643266906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524331551.02</v>
      </c>
      <c r="C92" s="64">
        <v>531764511</v>
      </c>
      <c r="D92" s="64">
        <v>550067738</v>
      </c>
      <c r="E92" s="64">
        <f t="shared" si="6"/>
        <v>18303227</v>
      </c>
      <c r="F92" s="65">
        <f t="shared" si="7"/>
        <v>0.03441979790185735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46">
      <selection activeCell="F44" sqref="F44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123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5029339</v>
      </c>
      <c r="C8" s="33">
        <v>5029339</v>
      </c>
      <c r="D8" s="33">
        <v>4847690</v>
      </c>
      <c r="E8" s="33">
        <f aca="true" t="shared" si="0" ref="E8:E29">D8-C8</f>
        <v>-181649</v>
      </c>
      <c r="F8" s="34">
        <f aca="true" t="shared" si="1" ref="F8:F29">IF(ISBLANK(E8),"  ",IF(C8&gt;0,E8/C8,IF(E8&gt;0,1,0)))</f>
        <v>-0.03611786757663383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245837.5</v>
      </c>
      <c r="C10" s="36">
        <v>283630</v>
      </c>
      <c r="D10" s="36">
        <v>275077</v>
      </c>
      <c r="E10" s="36">
        <f t="shared" si="0"/>
        <v>-8553</v>
      </c>
      <c r="F10" s="34">
        <f t="shared" si="1"/>
        <v>-0.030155484257659626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245837.5</v>
      </c>
      <c r="C12" s="38">
        <v>283630</v>
      </c>
      <c r="D12" s="38">
        <v>275077</v>
      </c>
      <c r="E12" s="36">
        <f t="shared" si="0"/>
        <v>-8553</v>
      </c>
      <c r="F12" s="34">
        <f t="shared" si="1"/>
        <v>-0.030155484257659626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5275176.5</v>
      </c>
      <c r="C35" s="44">
        <v>5312969</v>
      </c>
      <c r="D35" s="44">
        <v>5122767</v>
      </c>
      <c r="E35" s="44">
        <f>D35-C35</f>
        <v>-190202</v>
      </c>
      <c r="F35" s="45">
        <f>IF(ISBLANK(E35),"  ",IF(C35&gt;0,E35/C35,IF(E35&gt;0,1,0)))</f>
        <v>-0.035799568941584266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15027126.999999998</v>
      </c>
      <c r="C48" s="50">
        <v>15027127</v>
      </c>
      <c r="D48" s="50">
        <v>16391127</v>
      </c>
      <c r="E48" s="50">
        <f>D48-C48</f>
        <v>1364000</v>
      </c>
      <c r="F48" s="45">
        <f>IF(ISBLANK(E48),"  ",IF(C48&gt;0,E48/C48,IF(E48&gt;0,1,0)))</f>
        <v>0.09076918029640663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20302303.5</v>
      </c>
      <c r="C54" s="50">
        <v>20340096</v>
      </c>
      <c r="D54" s="50">
        <v>21513894</v>
      </c>
      <c r="E54" s="50">
        <f>D54-C54</f>
        <v>1173798</v>
      </c>
      <c r="F54" s="45">
        <f>IF(ISBLANK(E54),"  ",IF(C54&gt;0,E54/C54,IF(E54&gt;0,1,0)))</f>
        <v>0.05770857718665635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9629569.750000002</v>
      </c>
      <c r="C58" s="29">
        <v>9025573</v>
      </c>
      <c r="D58" s="29">
        <v>7783549</v>
      </c>
      <c r="E58" s="29">
        <f aca="true" t="shared" si="4" ref="E58:E71">D58-C58</f>
        <v>-1242024</v>
      </c>
      <c r="F58" s="34">
        <f aca="true" t="shared" si="5" ref="F58:F71">IF(ISBLANK(E58),"  ",IF(C58&gt;0,E58/C58,IF(E58&gt;0,1,0)))</f>
        <v>-0.13761165080599314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1390221.0799999998</v>
      </c>
      <c r="C61" s="38">
        <v>914564</v>
      </c>
      <c r="D61" s="38">
        <v>1106066</v>
      </c>
      <c r="E61" s="38">
        <f t="shared" si="4"/>
        <v>191502</v>
      </c>
      <c r="F61" s="34">
        <f t="shared" si="5"/>
        <v>0.2093915789381607</v>
      </c>
    </row>
    <row r="62" spans="1:6" s="100" customFormat="1" ht="26.25">
      <c r="A62" s="39" t="s">
        <v>58</v>
      </c>
      <c r="B62" s="38">
        <v>1362622.56</v>
      </c>
      <c r="C62" s="38">
        <v>1025441</v>
      </c>
      <c r="D62" s="38">
        <v>1263042</v>
      </c>
      <c r="E62" s="38">
        <f t="shared" si="4"/>
        <v>237601</v>
      </c>
      <c r="F62" s="34">
        <f t="shared" si="5"/>
        <v>0.23170616349453552</v>
      </c>
    </row>
    <row r="63" spans="1:6" s="100" customFormat="1" ht="26.25">
      <c r="A63" s="39" t="s">
        <v>59</v>
      </c>
      <c r="B63" s="38">
        <v>2893416.46</v>
      </c>
      <c r="C63" s="38">
        <v>6054901</v>
      </c>
      <c r="D63" s="38">
        <v>6989519</v>
      </c>
      <c r="E63" s="38">
        <f t="shared" si="4"/>
        <v>934618</v>
      </c>
      <c r="F63" s="34">
        <f t="shared" si="5"/>
        <v>0.1543572719025464</v>
      </c>
    </row>
    <row r="64" spans="1:6" s="100" customFormat="1" ht="26.25">
      <c r="A64" s="39" t="s">
        <v>60</v>
      </c>
      <c r="B64" s="38">
        <v>1820744.1</v>
      </c>
      <c r="C64" s="38">
        <v>1055500</v>
      </c>
      <c r="D64" s="38">
        <v>1877000</v>
      </c>
      <c r="E64" s="38">
        <f t="shared" si="4"/>
        <v>821500</v>
      </c>
      <c r="F64" s="34">
        <f t="shared" si="5"/>
        <v>0.7783041212695405</v>
      </c>
    </row>
    <row r="65" spans="1:6" s="100" customFormat="1" ht="26.25">
      <c r="A65" s="39" t="s">
        <v>61</v>
      </c>
      <c r="B65" s="38">
        <v>3022179</v>
      </c>
      <c r="C65" s="38">
        <v>2264117</v>
      </c>
      <c r="D65" s="38">
        <v>2494718</v>
      </c>
      <c r="E65" s="38">
        <f t="shared" si="4"/>
        <v>230601</v>
      </c>
      <c r="F65" s="34">
        <f t="shared" si="5"/>
        <v>0.10185030190577607</v>
      </c>
    </row>
    <row r="66" spans="1:6" s="102" customFormat="1" ht="26.25">
      <c r="A66" s="59" t="s">
        <v>62</v>
      </c>
      <c r="B66" s="44">
        <v>20118752.950000003</v>
      </c>
      <c r="C66" s="44">
        <v>20340096</v>
      </c>
      <c r="D66" s="44">
        <v>21513894</v>
      </c>
      <c r="E66" s="44">
        <f t="shared" si="4"/>
        <v>1173798</v>
      </c>
      <c r="F66" s="45">
        <f t="shared" si="5"/>
        <v>0.05770857718665635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183550.61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20302303.560000002</v>
      </c>
      <c r="C71" s="61">
        <v>20340096</v>
      </c>
      <c r="D71" s="61">
        <v>21513894</v>
      </c>
      <c r="E71" s="61">
        <f t="shared" si="4"/>
        <v>1173798</v>
      </c>
      <c r="F71" s="45">
        <f t="shared" si="5"/>
        <v>0.05770857718665635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9186432.29</v>
      </c>
      <c r="C74" s="33">
        <v>10685843</v>
      </c>
      <c r="D74" s="33">
        <v>10439074</v>
      </c>
      <c r="E74" s="29">
        <f aca="true" t="shared" si="6" ref="E74:E92">D74-C74</f>
        <v>-246769</v>
      </c>
      <c r="F74" s="34">
        <f aca="true" t="shared" si="7" ref="F74:F92">IF(ISBLANK(E74),"  ",IF(C74&gt;0,E74/C74,IF(E74&gt;0,1,0)))</f>
        <v>-0.023093077448358545</v>
      </c>
    </row>
    <row r="75" spans="1:6" s="100" customFormat="1" ht="26.25">
      <c r="A75" s="39" t="s">
        <v>70</v>
      </c>
      <c r="B75" s="36">
        <v>219520.58000000002</v>
      </c>
      <c r="C75" s="33">
        <v>272000</v>
      </c>
      <c r="D75" s="33">
        <v>296320</v>
      </c>
      <c r="E75" s="38">
        <f t="shared" si="6"/>
        <v>24320</v>
      </c>
      <c r="F75" s="34">
        <f t="shared" si="7"/>
        <v>0.08941176470588236</v>
      </c>
    </row>
    <row r="76" spans="1:6" s="100" customFormat="1" ht="26.25">
      <c r="A76" s="39" t="s">
        <v>71</v>
      </c>
      <c r="B76" s="29">
        <v>4569538.0200000005</v>
      </c>
      <c r="C76" s="33">
        <v>5267000</v>
      </c>
      <c r="D76" s="33">
        <v>4725600</v>
      </c>
      <c r="E76" s="38">
        <f t="shared" si="6"/>
        <v>-541400</v>
      </c>
      <c r="F76" s="34">
        <f t="shared" si="7"/>
        <v>-0.10279096259730397</v>
      </c>
    </row>
    <row r="77" spans="1:6" s="102" customFormat="1" ht="26.25">
      <c r="A77" s="59" t="s">
        <v>72</v>
      </c>
      <c r="B77" s="61">
        <v>13975490.89</v>
      </c>
      <c r="C77" s="61">
        <v>16224843</v>
      </c>
      <c r="D77" s="61">
        <v>15460994</v>
      </c>
      <c r="E77" s="44">
        <f t="shared" si="6"/>
        <v>-763849</v>
      </c>
      <c r="F77" s="45">
        <f t="shared" si="7"/>
        <v>-0.04707897635742916</v>
      </c>
    </row>
    <row r="78" spans="1:6" s="100" customFormat="1" ht="26.25">
      <c r="A78" s="39" t="s">
        <v>73</v>
      </c>
      <c r="B78" s="36">
        <v>119659.18</v>
      </c>
      <c r="C78" s="36">
        <v>90700</v>
      </c>
      <c r="D78" s="36">
        <v>164200</v>
      </c>
      <c r="E78" s="38">
        <f t="shared" si="6"/>
        <v>73500</v>
      </c>
      <c r="F78" s="34">
        <f t="shared" si="7"/>
        <v>0.8103638368246968</v>
      </c>
    </row>
    <row r="79" spans="1:6" s="100" customFormat="1" ht="26.25">
      <c r="A79" s="39" t="s">
        <v>74</v>
      </c>
      <c r="B79" s="33">
        <v>2083529.79</v>
      </c>
      <c r="C79" s="33">
        <v>1975553</v>
      </c>
      <c r="D79" s="33">
        <v>2261100</v>
      </c>
      <c r="E79" s="38">
        <f t="shared" si="6"/>
        <v>285547</v>
      </c>
      <c r="F79" s="34">
        <f t="shared" si="7"/>
        <v>0.14454028821297124</v>
      </c>
    </row>
    <row r="80" spans="1:6" s="100" customFormat="1" ht="26.25">
      <c r="A80" s="39" t="s">
        <v>75</v>
      </c>
      <c r="B80" s="29">
        <v>516843.85</v>
      </c>
      <c r="C80" s="29">
        <v>502900</v>
      </c>
      <c r="D80" s="29">
        <v>512700</v>
      </c>
      <c r="E80" s="38">
        <f t="shared" si="6"/>
        <v>9800</v>
      </c>
      <c r="F80" s="34">
        <f t="shared" si="7"/>
        <v>0.01948697554185723</v>
      </c>
    </row>
    <row r="81" spans="1:6" s="102" customFormat="1" ht="26.25">
      <c r="A81" s="42" t="s">
        <v>76</v>
      </c>
      <c r="B81" s="61">
        <v>2720032.8200000003</v>
      </c>
      <c r="C81" s="61">
        <v>2569153</v>
      </c>
      <c r="D81" s="61">
        <v>2938000</v>
      </c>
      <c r="E81" s="44">
        <f t="shared" si="6"/>
        <v>368847</v>
      </c>
      <c r="F81" s="45">
        <f t="shared" si="7"/>
        <v>0.1435675493051601</v>
      </c>
    </row>
    <row r="82" spans="1:6" s="100" customFormat="1" ht="26.25">
      <c r="A82" s="39" t="s">
        <v>77</v>
      </c>
      <c r="B82" s="29">
        <v>1238793.9300000002</v>
      </c>
      <c r="C82" s="29">
        <v>243900</v>
      </c>
      <c r="D82" s="29">
        <v>1000900</v>
      </c>
      <c r="E82" s="38">
        <f t="shared" si="6"/>
        <v>757000</v>
      </c>
      <c r="F82" s="34">
        <f t="shared" si="7"/>
        <v>3.1037310373103733</v>
      </c>
    </row>
    <row r="83" spans="1:6" s="100" customFormat="1" ht="26.25">
      <c r="A83" s="39" t="s">
        <v>78</v>
      </c>
      <c r="B83" s="38">
        <v>2086128.54</v>
      </c>
      <c r="C83" s="38">
        <v>1204200</v>
      </c>
      <c r="D83" s="38">
        <v>2036500</v>
      </c>
      <c r="E83" s="38">
        <f t="shared" si="6"/>
        <v>832300</v>
      </c>
      <c r="F83" s="34">
        <f t="shared" si="7"/>
        <v>0.6911642584288324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0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3324922.47</v>
      </c>
      <c r="C86" s="44">
        <v>1448100</v>
      </c>
      <c r="D86" s="44">
        <v>3037400</v>
      </c>
      <c r="E86" s="44">
        <f t="shared" si="6"/>
        <v>1589300</v>
      </c>
      <c r="F86" s="45">
        <f t="shared" si="7"/>
        <v>1.097507078240453</v>
      </c>
    </row>
    <row r="87" spans="1:6" s="100" customFormat="1" ht="26.25">
      <c r="A87" s="39" t="s">
        <v>82</v>
      </c>
      <c r="B87" s="38">
        <v>220565.46</v>
      </c>
      <c r="C87" s="38">
        <v>68000</v>
      </c>
      <c r="D87" s="38">
        <v>47500</v>
      </c>
      <c r="E87" s="38">
        <f t="shared" si="6"/>
        <v>-20500</v>
      </c>
      <c r="F87" s="34">
        <f t="shared" si="7"/>
        <v>-0.3014705882352941</v>
      </c>
    </row>
    <row r="88" spans="1:6" s="100" customFormat="1" ht="26.25">
      <c r="A88" s="39" t="s">
        <v>83</v>
      </c>
      <c r="B88" s="38">
        <v>11674.92</v>
      </c>
      <c r="C88" s="38">
        <v>30000</v>
      </c>
      <c r="D88" s="38">
        <v>30000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49617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281857.38</v>
      </c>
      <c r="C90" s="61">
        <v>98000</v>
      </c>
      <c r="D90" s="61">
        <v>77500</v>
      </c>
      <c r="E90" s="61">
        <f t="shared" si="6"/>
        <v>-20500</v>
      </c>
      <c r="F90" s="45">
        <f t="shared" si="7"/>
        <v>-0.20918367346938777</v>
      </c>
    </row>
    <row r="91" spans="1:6" s="100" customFormat="1" ht="26.25">
      <c r="A91" s="48" t="s">
        <v>86</v>
      </c>
      <c r="B91" s="38">
        <v>0</v>
      </c>
      <c r="C91" s="38">
        <v>0</v>
      </c>
      <c r="D91" s="36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20302303.560000002</v>
      </c>
      <c r="C92" s="64">
        <v>20340096</v>
      </c>
      <c r="D92" s="236">
        <v>21513894</v>
      </c>
      <c r="E92" s="64">
        <f t="shared" si="6"/>
        <v>1173798</v>
      </c>
      <c r="F92" s="65">
        <f t="shared" si="7"/>
        <v>0.05770857718665635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125</v>
      </c>
      <c r="G1" s="98"/>
      <c r="H1" s="71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6852709</v>
      </c>
      <c r="C8" s="33">
        <v>6852709</v>
      </c>
      <c r="D8" s="33">
        <v>7615400</v>
      </c>
      <c r="E8" s="33">
        <f aca="true" t="shared" si="0" ref="E8:E29">D8-C8</f>
        <v>762691</v>
      </c>
      <c r="F8" s="34">
        <f aca="true" t="shared" si="1" ref="F8:F29">IF(ISBLANK(E8),"  ",IF(C8&gt;0,E8/C8,IF(E8&gt;0,1,0)))</f>
        <v>0.11129773641343883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578622.61</v>
      </c>
      <c r="C10" s="36">
        <v>667574</v>
      </c>
      <c r="D10" s="36">
        <v>647443</v>
      </c>
      <c r="E10" s="36">
        <f t="shared" si="0"/>
        <v>-20131</v>
      </c>
      <c r="F10" s="34">
        <f t="shared" si="1"/>
        <v>-0.0301554584210889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578622.61</v>
      </c>
      <c r="C12" s="38">
        <v>667574</v>
      </c>
      <c r="D12" s="38">
        <v>647443</v>
      </c>
      <c r="E12" s="36">
        <f t="shared" si="0"/>
        <v>-20131</v>
      </c>
      <c r="F12" s="34">
        <f t="shared" si="1"/>
        <v>-0.0301554584210889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7431331.61</v>
      </c>
      <c r="C35" s="44">
        <v>7520283</v>
      </c>
      <c r="D35" s="44">
        <v>8262843</v>
      </c>
      <c r="E35" s="44">
        <f>D35-C35</f>
        <v>742560</v>
      </c>
      <c r="F35" s="45">
        <f>IF(ISBLANK(E35),"  ",IF(C35&gt;0,E35/C35,IF(E35&gt;0,1,0)))</f>
        <v>0.09874096493443132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26147866.05</v>
      </c>
      <c r="C48" s="50">
        <v>25412397</v>
      </c>
      <c r="D48" s="50">
        <v>25794397</v>
      </c>
      <c r="E48" s="50">
        <f>D48-C48</f>
        <v>382000</v>
      </c>
      <c r="F48" s="45">
        <f>IF(ISBLANK(E48),"  ",IF(C48&gt;0,E48/C48,IF(E48&gt;0,1,0)))</f>
        <v>0.01503203338118793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33579197.660000004</v>
      </c>
      <c r="C54" s="50">
        <v>32932680</v>
      </c>
      <c r="D54" s="50">
        <v>34057240</v>
      </c>
      <c r="E54" s="50">
        <f>D54-C54</f>
        <v>1124560</v>
      </c>
      <c r="F54" s="45">
        <f>IF(ISBLANK(E54),"  ",IF(C54&gt;0,E54/C54,IF(E54&gt;0,1,0)))</f>
        <v>0.034147236119259045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17059913.349999998</v>
      </c>
      <c r="C58" s="29">
        <v>13131684</v>
      </c>
      <c r="D58" s="29">
        <v>13751363</v>
      </c>
      <c r="E58" s="29">
        <f aca="true" t="shared" si="4" ref="E58:E71">D58-C58</f>
        <v>619679</v>
      </c>
      <c r="F58" s="34">
        <f aca="true" t="shared" si="5" ref="F58:F71">IF(ISBLANK(E58),"  ",IF(C58&gt;0,E58/C58,IF(E58&gt;0,1,0)))</f>
        <v>0.04718960645108426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3152051.44</v>
      </c>
      <c r="C61" s="38">
        <v>3533822</v>
      </c>
      <c r="D61" s="38">
        <v>3345918</v>
      </c>
      <c r="E61" s="38">
        <f t="shared" si="4"/>
        <v>-187904</v>
      </c>
      <c r="F61" s="34">
        <f t="shared" si="5"/>
        <v>-0.05317302342902387</v>
      </c>
    </row>
    <row r="62" spans="1:6" s="100" customFormat="1" ht="26.25">
      <c r="A62" s="39" t="s">
        <v>58</v>
      </c>
      <c r="B62" s="38">
        <v>2776634.869999999</v>
      </c>
      <c r="C62" s="38">
        <v>2428797</v>
      </c>
      <c r="D62" s="38">
        <v>1831851</v>
      </c>
      <c r="E62" s="38">
        <f t="shared" si="4"/>
        <v>-596946</v>
      </c>
      <c r="F62" s="34">
        <f t="shared" si="5"/>
        <v>-0.24577846563545658</v>
      </c>
    </row>
    <row r="63" spans="1:6" s="100" customFormat="1" ht="26.25">
      <c r="A63" s="39" t="s">
        <v>59</v>
      </c>
      <c r="B63" s="38">
        <v>5967750.2700000005</v>
      </c>
      <c r="C63" s="38">
        <v>5715986</v>
      </c>
      <c r="D63" s="38">
        <v>10640086</v>
      </c>
      <c r="E63" s="38">
        <f t="shared" si="4"/>
        <v>4924100</v>
      </c>
      <c r="F63" s="34">
        <f t="shared" si="5"/>
        <v>0.8614611722282035</v>
      </c>
    </row>
    <row r="64" spans="1:6" s="100" customFormat="1" ht="26.25">
      <c r="A64" s="39" t="s">
        <v>60</v>
      </c>
      <c r="B64" s="38">
        <v>1472534.16</v>
      </c>
      <c r="C64" s="38">
        <v>5080379</v>
      </c>
      <c r="D64" s="38">
        <v>1818379</v>
      </c>
      <c r="E64" s="38">
        <f t="shared" si="4"/>
        <v>-3262000</v>
      </c>
      <c r="F64" s="34">
        <f t="shared" si="5"/>
        <v>-0.642078081182526</v>
      </c>
    </row>
    <row r="65" spans="1:6" s="100" customFormat="1" ht="26.25">
      <c r="A65" s="39" t="s">
        <v>61</v>
      </c>
      <c r="B65" s="38">
        <v>2802851.8</v>
      </c>
      <c r="C65" s="38">
        <v>3042012</v>
      </c>
      <c r="D65" s="38">
        <v>2669643</v>
      </c>
      <c r="E65" s="38">
        <f t="shared" si="4"/>
        <v>-372369</v>
      </c>
      <c r="F65" s="34">
        <f t="shared" si="5"/>
        <v>-0.12240878734206177</v>
      </c>
    </row>
    <row r="66" spans="1:6" s="102" customFormat="1" ht="26.25">
      <c r="A66" s="59" t="s">
        <v>62</v>
      </c>
      <c r="B66" s="44">
        <v>33231735.889999997</v>
      </c>
      <c r="C66" s="44">
        <v>32932680</v>
      </c>
      <c r="D66" s="44">
        <v>34057240</v>
      </c>
      <c r="E66" s="44">
        <f t="shared" si="4"/>
        <v>1124560</v>
      </c>
      <c r="F66" s="45">
        <f t="shared" si="5"/>
        <v>0.034147236119259045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347462.86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33579197.75</v>
      </c>
      <c r="C71" s="61">
        <v>32932680</v>
      </c>
      <c r="D71" s="61">
        <v>34057240</v>
      </c>
      <c r="E71" s="61">
        <f t="shared" si="4"/>
        <v>1124560</v>
      </c>
      <c r="F71" s="45">
        <f t="shared" si="5"/>
        <v>0.034147236119259045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13863297.4</v>
      </c>
      <c r="C74" s="33">
        <v>14718922</v>
      </c>
      <c r="D74" s="33">
        <v>13984433</v>
      </c>
      <c r="E74" s="29">
        <f aca="true" t="shared" si="6" ref="E74:E92">D74-C74</f>
        <v>-734489</v>
      </c>
      <c r="F74" s="34">
        <f aca="true" t="shared" si="7" ref="F74:F92">IF(ISBLANK(E74),"  ",IF(C74&gt;0,E74/C74,IF(E74&gt;0,1,0)))</f>
        <v>-0.049901004978489594</v>
      </c>
    </row>
    <row r="75" spans="1:6" s="100" customFormat="1" ht="26.25">
      <c r="A75" s="39" t="s">
        <v>70</v>
      </c>
      <c r="B75" s="36">
        <v>1639649.6200000008</v>
      </c>
      <c r="C75" s="33">
        <v>1022074</v>
      </c>
      <c r="D75" s="33">
        <v>1802273</v>
      </c>
      <c r="E75" s="38">
        <f t="shared" si="6"/>
        <v>780199</v>
      </c>
      <c r="F75" s="34">
        <f t="shared" si="7"/>
        <v>0.7633488377553875</v>
      </c>
    </row>
    <row r="76" spans="1:6" s="100" customFormat="1" ht="26.25">
      <c r="A76" s="39" t="s">
        <v>71</v>
      </c>
      <c r="B76" s="29">
        <v>6565167.739999999</v>
      </c>
      <c r="C76" s="33">
        <v>6316669</v>
      </c>
      <c r="D76" s="33">
        <v>6764321</v>
      </c>
      <c r="E76" s="38">
        <f t="shared" si="6"/>
        <v>447652</v>
      </c>
      <c r="F76" s="34">
        <f t="shared" si="7"/>
        <v>0.07086836432303165</v>
      </c>
    </row>
    <row r="77" spans="1:6" s="102" customFormat="1" ht="26.25">
      <c r="A77" s="59" t="s">
        <v>72</v>
      </c>
      <c r="B77" s="61">
        <v>22068114.76</v>
      </c>
      <c r="C77" s="61">
        <v>22057665</v>
      </c>
      <c r="D77" s="61">
        <v>22551027</v>
      </c>
      <c r="E77" s="44">
        <f t="shared" si="6"/>
        <v>493362</v>
      </c>
      <c r="F77" s="45">
        <f t="shared" si="7"/>
        <v>0.022366918710570678</v>
      </c>
    </row>
    <row r="78" spans="1:6" s="100" customFormat="1" ht="26.25">
      <c r="A78" s="39" t="s">
        <v>73</v>
      </c>
      <c r="B78" s="36">
        <v>140804.1</v>
      </c>
      <c r="C78" s="36">
        <v>81865</v>
      </c>
      <c r="D78" s="36">
        <v>78865</v>
      </c>
      <c r="E78" s="38">
        <f t="shared" si="6"/>
        <v>-3000</v>
      </c>
      <c r="F78" s="34">
        <f t="shared" si="7"/>
        <v>-0.03664569718438893</v>
      </c>
    </row>
    <row r="79" spans="1:6" s="100" customFormat="1" ht="26.25">
      <c r="A79" s="39" t="s">
        <v>74</v>
      </c>
      <c r="B79" s="33">
        <v>2842221.05</v>
      </c>
      <c r="C79" s="33">
        <v>3033487</v>
      </c>
      <c r="D79" s="33">
        <v>3079963</v>
      </c>
      <c r="E79" s="38">
        <f t="shared" si="6"/>
        <v>46476</v>
      </c>
      <c r="F79" s="34">
        <f t="shared" si="7"/>
        <v>0.015320982090907263</v>
      </c>
    </row>
    <row r="80" spans="1:6" s="100" customFormat="1" ht="26.25">
      <c r="A80" s="39" t="s">
        <v>75</v>
      </c>
      <c r="B80" s="29">
        <v>1096898.58</v>
      </c>
      <c r="C80" s="29">
        <v>1380746</v>
      </c>
      <c r="D80" s="29">
        <v>1313786</v>
      </c>
      <c r="E80" s="38">
        <f t="shared" si="6"/>
        <v>-66960</v>
      </c>
      <c r="F80" s="34">
        <f t="shared" si="7"/>
        <v>-0.04849552343443327</v>
      </c>
    </row>
    <row r="81" spans="1:6" s="102" customFormat="1" ht="26.25">
      <c r="A81" s="42" t="s">
        <v>76</v>
      </c>
      <c r="B81" s="61">
        <v>4079923.73</v>
      </c>
      <c r="C81" s="61">
        <v>4496098</v>
      </c>
      <c r="D81" s="61">
        <v>4472614</v>
      </c>
      <c r="E81" s="44">
        <f t="shared" si="6"/>
        <v>-23484</v>
      </c>
      <c r="F81" s="45">
        <f t="shared" si="7"/>
        <v>-0.005223195757743715</v>
      </c>
    </row>
    <row r="82" spans="1:6" s="100" customFormat="1" ht="26.25">
      <c r="A82" s="39" t="s">
        <v>77</v>
      </c>
      <c r="B82" s="29">
        <v>4662934.98</v>
      </c>
      <c r="C82" s="29">
        <v>268999</v>
      </c>
      <c r="D82" s="29">
        <v>4095999</v>
      </c>
      <c r="E82" s="38">
        <f t="shared" si="6"/>
        <v>3827000</v>
      </c>
      <c r="F82" s="34">
        <f t="shared" si="7"/>
        <v>14.226818687058316</v>
      </c>
    </row>
    <row r="83" spans="1:6" s="100" customFormat="1" ht="26.25">
      <c r="A83" s="39" t="s">
        <v>78</v>
      </c>
      <c r="B83" s="38">
        <v>1870166.4100000001</v>
      </c>
      <c r="C83" s="38">
        <v>5882618</v>
      </c>
      <c r="D83" s="38">
        <v>2710300</v>
      </c>
      <c r="E83" s="38">
        <f t="shared" si="6"/>
        <v>-3172318</v>
      </c>
      <c r="F83" s="34">
        <f t="shared" si="7"/>
        <v>-0.5392697605045916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347462.86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6880564.250000001</v>
      </c>
      <c r="C86" s="44">
        <v>6151617</v>
      </c>
      <c r="D86" s="44">
        <v>6806299</v>
      </c>
      <c r="E86" s="44">
        <f t="shared" si="6"/>
        <v>654682</v>
      </c>
      <c r="F86" s="45">
        <f t="shared" si="7"/>
        <v>0.10642437589986503</v>
      </c>
    </row>
    <row r="87" spans="1:6" s="100" customFormat="1" ht="26.25">
      <c r="A87" s="39" t="s">
        <v>82</v>
      </c>
      <c r="B87" s="38">
        <v>328324.06</v>
      </c>
      <c r="C87" s="38">
        <v>50000</v>
      </c>
      <c r="D87" s="38">
        <v>50000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11081.27</v>
      </c>
      <c r="C88" s="38">
        <v>177300</v>
      </c>
      <c r="D88" s="38">
        <v>177300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211189.68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550595.01</v>
      </c>
      <c r="C90" s="61">
        <v>227300</v>
      </c>
      <c r="D90" s="61">
        <v>227300</v>
      </c>
      <c r="E90" s="61">
        <f t="shared" si="6"/>
        <v>0</v>
      </c>
      <c r="F90" s="45">
        <f t="shared" si="7"/>
        <v>0</v>
      </c>
    </row>
    <row r="91" spans="1:6" s="100" customFormat="1" ht="26.25">
      <c r="A91" s="48" t="s">
        <v>86</v>
      </c>
      <c r="B91" s="38">
        <v>0</v>
      </c>
      <c r="C91" s="38">
        <v>0</v>
      </c>
      <c r="D91" s="36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33579197.75</v>
      </c>
      <c r="C92" s="64">
        <v>32932680</v>
      </c>
      <c r="D92" s="236">
        <v>34057240</v>
      </c>
      <c r="E92" s="64">
        <f t="shared" si="6"/>
        <v>1124560</v>
      </c>
      <c r="F92" s="65">
        <f t="shared" si="7"/>
        <v>0.034147236119259045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124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4488050</v>
      </c>
      <c r="C8" s="33">
        <v>4488050</v>
      </c>
      <c r="D8" s="33">
        <v>4620901</v>
      </c>
      <c r="E8" s="33">
        <f aca="true" t="shared" si="0" ref="E8:E29">D8-C8</f>
        <v>132851</v>
      </c>
      <c r="F8" s="34">
        <f aca="true" t="shared" si="1" ref="F8:F29">IF(ISBLANK(E8),"  ",IF(C8&gt;0,E8/C8,IF(E8&gt;0,1,0)))</f>
        <v>0.02960105168168804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228814.46</v>
      </c>
      <c r="C10" s="36">
        <v>263990</v>
      </c>
      <c r="D10" s="36">
        <v>256030</v>
      </c>
      <c r="E10" s="36">
        <f t="shared" si="0"/>
        <v>-7960</v>
      </c>
      <c r="F10" s="34">
        <f t="shared" si="1"/>
        <v>-0.03015265729762491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228814.46</v>
      </c>
      <c r="C12" s="38">
        <v>263990</v>
      </c>
      <c r="D12" s="38">
        <v>256030</v>
      </c>
      <c r="E12" s="36">
        <f t="shared" si="0"/>
        <v>-7960</v>
      </c>
      <c r="F12" s="34">
        <f t="shared" si="1"/>
        <v>-0.03015265729762491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4716864.46</v>
      </c>
      <c r="C35" s="44">
        <v>4752040</v>
      </c>
      <c r="D35" s="44">
        <v>4876931</v>
      </c>
      <c r="E35" s="44">
        <f>D35-C35</f>
        <v>124891</v>
      </c>
      <c r="F35" s="45">
        <f>IF(ISBLANK(E35),"  ",IF(C35&gt;0,E35/C35,IF(E35&gt;0,1,0)))</f>
        <v>0.026281554869066758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8801899.05</v>
      </c>
      <c r="C48" s="50">
        <v>8828383</v>
      </c>
      <c r="D48" s="50">
        <v>9328383</v>
      </c>
      <c r="E48" s="50">
        <f>D48-C48</f>
        <v>500000</v>
      </c>
      <c r="F48" s="45">
        <f>IF(ISBLANK(E48),"  ",IF(C48&gt;0,E48/C48,IF(E48&gt;0,1,0)))</f>
        <v>0.05663551298125603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13518762.510000002</v>
      </c>
      <c r="C54" s="50">
        <v>13580423</v>
      </c>
      <c r="D54" s="50">
        <v>14205314</v>
      </c>
      <c r="E54" s="50">
        <f>D54-C54</f>
        <v>624891</v>
      </c>
      <c r="F54" s="45">
        <f>IF(ISBLANK(E54),"  ",IF(C54&gt;0,E54/C54,IF(E54&gt;0,1,0)))</f>
        <v>0.0460141042734825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6570768.7</v>
      </c>
      <c r="C58" s="29">
        <v>6511226</v>
      </c>
      <c r="D58" s="29">
        <v>6777355</v>
      </c>
      <c r="E58" s="29">
        <f aca="true" t="shared" si="4" ref="E58:E71">D58-C58</f>
        <v>266129</v>
      </c>
      <c r="F58" s="34">
        <f aca="true" t="shared" si="5" ref="F58:F71">IF(ISBLANK(E58),"  ",IF(C58&gt;0,E58/C58,IF(E58&gt;0,1,0)))</f>
        <v>0.040872333413093015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571878</v>
      </c>
      <c r="C61" s="38">
        <v>600802</v>
      </c>
      <c r="D61" s="38">
        <v>649302</v>
      </c>
      <c r="E61" s="38">
        <f t="shared" si="4"/>
        <v>48500</v>
      </c>
      <c r="F61" s="34">
        <f t="shared" si="5"/>
        <v>0.08072543034144361</v>
      </c>
    </row>
    <row r="62" spans="1:6" s="100" customFormat="1" ht="26.25">
      <c r="A62" s="39" t="s">
        <v>58</v>
      </c>
      <c r="B62" s="38">
        <v>1033969.7100000001</v>
      </c>
      <c r="C62" s="38">
        <v>1096686</v>
      </c>
      <c r="D62" s="38">
        <v>1347590</v>
      </c>
      <c r="E62" s="38">
        <f t="shared" si="4"/>
        <v>250904</v>
      </c>
      <c r="F62" s="34">
        <f t="shared" si="5"/>
        <v>0.22878380867449752</v>
      </c>
    </row>
    <row r="63" spans="1:6" s="100" customFormat="1" ht="26.25">
      <c r="A63" s="39" t="s">
        <v>59</v>
      </c>
      <c r="B63" s="38">
        <v>2567797.5700000003</v>
      </c>
      <c r="C63" s="38">
        <v>2154857</v>
      </c>
      <c r="D63" s="38">
        <v>2715831</v>
      </c>
      <c r="E63" s="38">
        <f t="shared" si="4"/>
        <v>560974</v>
      </c>
      <c r="F63" s="34">
        <f t="shared" si="5"/>
        <v>0.2603300358214025</v>
      </c>
    </row>
    <row r="64" spans="1:6" s="100" customFormat="1" ht="26.25">
      <c r="A64" s="39" t="s">
        <v>60</v>
      </c>
      <c r="B64" s="38">
        <v>616830</v>
      </c>
      <c r="C64" s="38">
        <v>589720</v>
      </c>
      <c r="D64" s="38">
        <v>569720</v>
      </c>
      <c r="E64" s="38">
        <f t="shared" si="4"/>
        <v>-20000</v>
      </c>
      <c r="F64" s="34">
        <f t="shared" si="5"/>
        <v>-0.03391440005426304</v>
      </c>
    </row>
    <row r="65" spans="1:6" s="100" customFormat="1" ht="26.25">
      <c r="A65" s="39" t="s">
        <v>61</v>
      </c>
      <c r="B65" s="38">
        <v>2157517.87</v>
      </c>
      <c r="C65" s="38">
        <v>2627132</v>
      </c>
      <c r="D65" s="38">
        <v>2145516</v>
      </c>
      <c r="E65" s="38">
        <f t="shared" si="4"/>
        <v>-481616</v>
      </c>
      <c r="F65" s="34">
        <f t="shared" si="5"/>
        <v>-0.18332386800510975</v>
      </c>
    </row>
    <row r="66" spans="1:6" s="102" customFormat="1" ht="26.25">
      <c r="A66" s="59" t="s">
        <v>62</v>
      </c>
      <c r="B66" s="44">
        <v>13518762.850000001</v>
      </c>
      <c r="C66" s="44">
        <v>13580423</v>
      </c>
      <c r="D66" s="44">
        <v>14205314</v>
      </c>
      <c r="E66" s="44">
        <f t="shared" si="4"/>
        <v>624891</v>
      </c>
      <c r="F66" s="45">
        <f t="shared" si="5"/>
        <v>0.0460141042734825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13518762.850000001</v>
      </c>
      <c r="C71" s="61">
        <v>13580423</v>
      </c>
      <c r="D71" s="61">
        <v>14205314</v>
      </c>
      <c r="E71" s="61">
        <f t="shared" si="4"/>
        <v>624891</v>
      </c>
      <c r="F71" s="45">
        <f t="shared" si="5"/>
        <v>0.0460141042734825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6707907.37</v>
      </c>
      <c r="C74" s="33">
        <v>6923348</v>
      </c>
      <c r="D74" s="33">
        <v>7352338</v>
      </c>
      <c r="E74" s="29">
        <f aca="true" t="shared" si="6" ref="E74:E92">D74-C74</f>
        <v>428990</v>
      </c>
      <c r="F74" s="34">
        <f aca="true" t="shared" si="7" ref="F74:F92">IF(ISBLANK(E74),"  ",IF(C74&gt;0,E74/C74,IF(E74&gt;0,1,0)))</f>
        <v>0.061962796034519714</v>
      </c>
    </row>
    <row r="75" spans="1:6" s="100" customFormat="1" ht="26.25">
      <c r="A75" s="39" t="s">
        <v>70</v>
      </c>
      <c r="B75" s="36">
        <v>102847</v>
      </c>
      <c r="C75" s="36">
        <v>72394</v>
      </c>
      <c r="D75" s="36">
        <v>97200</v>
      </c>
      <c r="E75" s="38">
        <f t="shared" si="6"/>
        <v>24806</v>
      </c>
      <c r="F75" s="34">
        <f t="shared" si="7"/>
        <v>0.34265270602536124</v>
      </c>
    </row>
    <row r="76" spans="1:6" s="100" customFormat="1" ht="26.25">
      <c r="A76" s="39" t="s">
        <v>71</v>
      </c>
      <c r="B76" s="29">
        <v>3400720</v>
      </c>
      <c r="C76" s="29">
        <v>3408148</v>
      </c>
      <c r="D76" s="29">
        <v>3581721</v>
      </c>
      <c r="E76" s="38">
        <f t="shared" si="6"/>
        <v>173573</v>
      </c>
      <c r="F76" s="34">
        <f t="shared" si="7"/>
        <v>0.05092883290279648</v>
      </c>
    </row>
    <row r="77" spans="1:6" s="102" customFormat="1" ht="26.25">
      <c r="A77" s="59" t="s">
        <v>72</v>
      </c>
      <c r="B77" s="61">
        <v>10211473.76</v>
      </c>
      <c r="C77" s="61">
        <v>10403890</v>
      </c>
      <c r="D77" s="61">
        <v>11031259</v>
      </c>
      <c r="E77" s="44">
        <f t="shared" si="6"/>
        <v>627369</v>
      </c>
      <c r="F77" s="45">
        <f t="shared" si="7"/>
        <v>0.060301387269569365</v>
      </c>
    </row>
    <row r="78" spans="1:6" s="100" customFormat="1" ht="26.25">
      <c r="A78" s="39" t="s">
        <v>73</v>
      </c>
      <c r="B78" s="36">
        <v>84158.06</v>
      </c>
      <c r="C78" s="36">
        <v>73485</v>
      </c>
      <c r="D78" s="36">
        <v>103785</v>
      </c>
      <c r="E78" s="38">
        <f t="shared" si="6"/>
        <v>30300</v>
      </c>
      <c r="F78" s="34">
        <f t="shared" si="7"/>
        <v>0.41232904674423354</v>
      </c>
    </row>
    <row r="79" spans="1:6" s="100" customFormat="1" ht="26.25">
      <c r="A79" s="39" t="s">
        <v>74</v>
      </c>
      <c r="B79" s="33">
        <v>1055618</v>
      </c>
      <c r="C79" s="33">
        <v>1174198</v>
      </c>
      <c r="D79" s="33">
        <v>1429041</v>
      </c>
      <c r="E79" s="38">
        <f t="shared" si="6"/>
        <v>254843</v>
      </c>
      <c r="F79" s="34">
        <f t="shared" si="7"/>
        <v>0.2170357980510953</v>
      </c>
    </row>
    <row r="80" spans="1:6" s="100" customFormat="1" ht="26.25">
      <c r="A80" s="39" t="s">
        <v>75</v>
      </c>
      <c r="B80" s="29">
        <v>787399.88</v>
      </c>
      <c r="C80" s="29">
        <v>392652</v>
      </c>
      <c r="D80" s="29">
        <v>628143</v>
      </c>
      <c r="E80" s="38">
        <f t="shared" si="6"/>
        <v>235491</v>
      </c>
      <c r="F80" s="34">
        <f t="shared" si="7"/>
        <v>0.5997448122001161</v>
      </c>
    </row>
    <row r="81" spans="1:6" s="102" customFormat="1" ht="26.25">
      <c r="A81" s="42" t="s">
        <v>76</v>
      </c>
      <c r="B81" s="61">
        <v>1927176</v>
      </c>
      <c r="C81" s="61">
        <v>1640335</v>
      </c>
      <c r="D81" s="61">
        <v>2160969</v>
      </c>
      <c r="E81" s="44">
        <f t="shared" si="6"/>
        <v>520634</v>
      </c>
      <c r="F81" s="45">
        <f t="shared" si="7"/>
        <v>0.31739492237866046</v>
      </c>
    </row>
    <row r="82" spans="1:6" s="100" customFormat="1" ht="26.25">
      <c r="A82" s="39" t="s">
        <v>77</v>
      </c>
      <c r="B82" s="29">
        <v>71730.26</v>
      </c>
      <c r="C82" s="29">
        <v>40000</v>
      </c>
      <c r="D82" s="29">
        <v>40000</v>
      </c>
      <c r="E82" s="38">
        <f t="shared" si="6"/>
        <v>0</v>
      </c>
      <c r="F82" s="34">
        <f t="shared" si="7"/>
        <v>0</v>
      </c>
    </row>
    <row r="83" spans="1:6" s="100" customFormat="1" ht="26.25">
      <c r="A83" s="39" t="s">
        <v>78</v>
      </c>
      <c r="B83" s="38">
        <v>671710.52</v>
      </c>
      <c r="C83" s="38">
        <v>651320</v>
      </c>
      <c r="D83" s="38">
        <v>613320</v>
      </c>
      <c r="E83" s="38">
        <f t="shared" si="6"/>
        <v>-38000</v>
      </c>
      <c r="F83" s="34">
        <f t="shared" si="7"/>
        <v>-0.058343057176196034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0</v>
      </c>
      <c r="C85" s="38">
        <v>356878</v>
      </c>
      <c r="D85" s="38">
        <v>305766</v>
      </c>
      <c r="E85" s="38">
        <f t="shared" si="6"/>
        <v>-51112</v>
      </c>
      <c r="F85" s="34">
        <f t="shared" si="7"/>
        <v>-0.14321981181244012</v>
      </c>
    </row>
    <row r="86" spans="1:6" s="102" customFormat="1" ht="26.25">
      <c r="A86" s="42" t="s">
        <v>81</v>
      </c>
      <c r="B86" s="44">
        <v>743442</v>
      </c>
      <c r="C86" s="44">
        <v>1048198</v>
      </c>
      <c r="D86" s="44">
        <v>959086</v>
      </c>
      <c r="E86" s="44">
        <f t="shared" si="6"/>
        <v>-89112</v>
      </c>
      <c r="F86" s="45">
        <f t="shared" si="7"/>
        <v>-0.0850144724565397</v>
      </c>
    </row>
    <row r="87" spans="1:6" s="100" customFormat="1" ht="26.25">
      <c r="A87" s="39" t="s">
        <v>82</v>
      </c>
      <c r="B87" s="38">
        <v>510603.51</v>
      </c>
      <c r="C87" s="38">
        <v>40000</v>
      </c>
      <c r="D87" s="38">
        <v>6000</v>
      </c>
      <c r="E87" s="38">
        <f t="shared" si="6"/>
        <v>-34000</v>
      </c>
      <c r="F87" s="34">
        <f t="shared" si="7"/>
        <v>-0.85</v>
      </c>
    </row>
    <row r="88" spans="1:6" s="100" customFormat="1" ht="26.25">
      <c r="A88" s="39" t="s">
        <v>83</v>
      </c>
      <c r="B88" s="38">
        <v>1045.74</v>
      </c>
      <c r="C88" s="38">
        <v>48000</v>
      </c>
      <c r="D88" s="38">
        <v>48000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125021.84999999999</v>
      </c>
      <c r="C89" s="38">
        <v>400000</v>
      </c>
      <c r="D89" s="38">
        <v>0</v>
      </c>
      <c r="E89" s="38">
        <f t="shared" si="6"/>
        <v>-400000</v>
      </c>
      <c r="F89" s="34">
        <f t="shared" si="7"/>
        <v>-1</v>
      </c>
    </row>
    <row r="90" spans="1:6" s="102" customFormat="1" ht="26.25">
      <c r="A90" s="62" t="s">
        <v>85</v>
      </c>
      <c r="B90" s="61">
        <v>636672.1</v>
      </c>
      <c r="C90" s="61">
        <v>488000</v>
      </c>
      <c r="D90" s="61">
        <v>54000</v>
      </c>
      <c r="E90" s="61">
        <f t="shared" si="6"/>
        <v>-434000</v>
      </c>
      <c r="F90" s="45">
        <f t="shared" si="7"/>
        <v>-0.889344262295082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13518762.85</v>
      </c>
      <c r="C92" s="64">
        <v>13580423</v>
      </c>
      <c r="D92" s="64">
        <v>14205314</v>
      </c>
      <c r="E92" s="64">
        <f t="shared" si="6"/>
        <v>624891</v>
      </c>
      <c r="F92" s="65">
        <f t="shared" si="7"/>
        <v>0.0460141042734825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" t="s">
        <v>138</v>
      </c>
      <c r="E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57211833</v>
      </c>
      <c r="C8" s="33">
        <v>57211833</v>
      </c>
      <c r="D8" s="33">
        <v>58202700</v>
      </c>
      <c r="E8" s="33">
        <f aca="true" t="shared" si="0" ref="E8:E29">D8-C8</f>
        <v>990867</v>
      </c>
      <c r="F8" s="34">
        <f aca="true" t="shared" si="1" ref="F8:F29">IF(ISBLANK(E8),"  ",IF(C8&gt;0,E8/C8,IF(E8&gt;0,1,0)))</f>
        <v>0.017319266802725934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7529265.7</v>
      </c>
      <c r="C10" s="36">
        <v>9308955</v>
      </c>
      <c r="D10" s="36">
        <v>7400747</v>
      </c>
      <c r="E10" s="36">
        <f t="shared" si="0"/>
        <v>-1908208</v>
      </c>
      <c r="F10" s="34">
        <f t="shared" si="1"/>
        <v>-0.2049862739695272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2461080.26</v>
      </c>
      <c r="C12" s="38">
        <v>2839421</v>
      </c>
      <c r="D12" s="38">
        <v>2753797</v>
      </c>
      <c r="E12" s="36">
        <f t="shared" si="0"/>
        <v>-85624</v>
      </c>
      <c r="F12" s="34">
        <f t="shared" si="1"/>
        <v>-0.03015544366263404</v>
      </c>
    </row>
    <row r="13" spans="1:6" s="100" customFormat="1" ht="26.25">
      <c r="A13" s="39" t="s">
        <v>17</v>
      </c>
      <c r="B13" s="38">
        <v>5068185.44</v>
      </c>
      <c r="C13" s="38">
        <v>6469534</v>
      </c>
      <c r="D13" s="38">
        <v>4646950</v>
      </c>
      <c r="E13" s="36">
        <f t="shared" si="0"/>
        <v>-1822584</v>
      </c>
      <c r="F13" s="34">
        <f t="shared" si="1"/>
        <v>-0.28171797226817263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122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64741098.7</v>
      </c>
      <c r="C35" s="44">
        <v>66520788</v>
      </c>
      <c r="D35" s="44">
        <v>65603447</v>
      </c>
      <c r="E35" s="44">
        <f>D35-C35</f>
        <v>-917341</v>
      </c>
      <c r="F35" s="45">
        <f>IF(ISBLANK(E35),"  ",IF(C35&gt;0,E35/C35,IF(E35&gt;0,1,0)))</f>
        <v>-0.013790290638168628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21109079</v>
      </c>
      <c r="C48" s="50">
        <v>21109079</v>
      </c>
      <c r="D48" s="50">
        <v>21409079</v>
      </c>
      <c r="E48" s="50">
        <f>D48-C48</f>
        <v>300000</v>
      </c>
      <c r="F48" s="45">
        <f>IF(ISBLANK(E48),"  ",IF(C48&gt;0,E48/C48,IF(E48&gt;0,1,0)))</f>
        <v>0.01421189432281721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85850177.7</v>
      </c>
      <c r="C54" s="50">
        <v>87629867</v>
      </c>
      <c r="D54" s="50">
        <v>87012526</v>
      </c>
      <c r="E54" s="50">
        <f>D54-C54</f>
        <v>-617341</v>
      </c>
      <c r="F54" s="45">
        <f>IF(ISBLANK(E54),"  ",IF(C54&gt;0,E54/C54,IF(E54&gt;0,1,0)))</f>
        <v>-0.007044869758846033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22115639.569999997</v>
      </c>
      <c r="C58" s="29">
        <v>20146494</v>
      </c>
      <c r="D58" s="29">
        <v>19466335</v>
      </c>
      <c r="E58" s="29">
        <f aca="true" t="shared" si="4" ref="E58:E71">D58-C58</f>
        <v>-680159</v>
      </c>
      <c r="F58" s="34">
        <f aca="true" t="shared" si="5" ref="F58:F71">IF(ISBLANK(E58),"  ",IF(C58&gt;0,E58/C58,IF(E58&gt;0,1,0)))</f>
        <v>-0.033760663269748074</v>
      </c>
    </row>
    <row r="59" spans="1:6" s="100" customFormat="1" ht="26.25">
      <c r="A59" s="39" t="s">
        <v>55</v>
      </c>
      <c r="B59" s="38">
        <v>18600471.85</v>
      </c>
      <c r="C59" s="38">
        <v>20874775</v>
      </c>
      <c r="D59" s="38">
        <v>19493761</v>
      </c>
      <c r="E59" s="38">
        <f t="shared" si="4"/>
        <v>-1381014</v>
      </c>
      <c r="F59" s="34">
        <f t="shared" si="5"/>
        <v>-0.06615707235167805</v>
      </c>
    </row>
    <row r="60" spans="1:6" s="100" customFormat="1" ht="26.25">
      <c r="A60" s="39" t="s">
        <v>56</v>
      </c>
      <c r="B60" s="38">
        <v>852535.54</v>
      </c>
      <c r="C60" s="38">
        <v>823722</v>
      </c>
      <c r="D60" s="38">
        <v>1224010</v>
      </c>
      <c r="E60" s="38">
        <f t="shared" si="4"/>
        <v>400288</v>
      </c>
      <c r="F60" s="34">
        <f t="shared" si="5"/>
        <v>0.4859503570379327</v>
      </c>
    </row>
    <row r="61" spans="1:6" s="100" customFormat="1" ht="26.25">
      <c r="A61" s="39" t="s">
        <v>57</v>
      </c>
      <c r="B61" s="38">
        <v>6554440.02</v>
      </c>
      <c r="C61" s="38">
        <v>7334588</v>
      </c>
      <c r="D61" s="38">
        <v>7755755</v>
      </c>
      <c r="E61" s="38">
        <f t="shared" si="4"/>
        <v>421167</v>
      </c>
      <c r="F61" s="34">
        <f t="shared" si="5"/>
        <v>0.05742203924746693</v>
      </c>
    </row>
    <row r="62" spans="1:6" s="100" customFormat="1" ht="26.25">
      <c r="A62" s="39" t="s">
        <v>58</v>
      </c>
      <c r="B62" s="38">
        <v>1177211.2499999998</v>
      </c>
      <c r="C62" s="38">
        <v>1238831</v>
      </c>
      <c r="D62" s="38">
        <v>1283474</v>
      </c>
      <c r="E62" s="38">
        <f t="shared" si="4"/>
        <v>44643</v>
      </c>
      <c r="F62" s="34">
        <f t="shared" si="5"/>
        <v>0.036036392373132414</v>
      </c>
    </row>
    <row r="63" spans="1:6" s="100" customFormat="1" ht="26.25">
      <c r="A63" s="39" t="s">
        <v>59</v>
      </c>
      <c r="B63" s="38">
        <v>24435019.22</v>
      </c>
      <c r="C63" s="38">
        <v>24757790</v>
      </c>
      <c r="D63" s="38">
        <v>25533412</v>
      </c>
      <c r="E63" s="38">
        <f t="shared" si="4"/>
        <v>775622</v>
      </c>
      <c r="F63" s="34">
        <f t="shared" si="5"/>
        <v>0.031328402090816665</v>
      </c>
    </row>
    <row r="64" spans="1:6" s="100" customFormat="1" ht="26.25">
      <c r="A64" s="39" t="s">
        <v>60</v>
      </c>
      <c r="B64" s="38">
        <v>2328835.88</v>
      </c>
      <c r="C64" s="38">
        <v>2342280</v>
      </c>
      <c r="D64" s="38">
        <v>2468096</v>
      </c>
      <c r="E64" s="38">
        <f t="shared" si="4"/>
        <v>125816</v>
      </c>
      <c r="F64" s="34">
        <f t="shared" si="5"/>
        <v>0.05371518349642229</v>
      </c>
    </row>
    <row r="65" spans="1:6" s="100" customFormat="1" ht="26.25">
      <c r="A65" s="39" t="s">
        <v>61</v>
      </c>
      <c r="B65" s="38">
        <v>4026532.3400000003</v>
      </c>
      <c r="C65" s="38">
        <v>4550414</v>
      </c>
      <c r="D65" s="38">
        <v>4755168</v>
      </c>
      <c r="E65" s="38">
        <f t="shared" si="4"/>
        <v>204754</v>
      </c>
      <c r="F65" s="34">
        <f t="shared" si="5"/>
        <v>0.044996784907922666</v>
      </c>
    </row>
    <row r="66" spans="1:6" s="102" customFormat="1" ht="26.25">
      <c r="A66" s="59" t="s">
        <v>62</v>
      </c>
      <c r="B66" s="44">
        <v>80090685.67</v>
      </c>
      <c r="C66" s="44">
        <v>82068894</v>
      </c>
      <c r="D66" s="44">
        <v>81980011</v>
      </c>
      <c r="E66" s="44">
        <f t="shared" si="4"/>
        <v>-88883</v>
      </c>
      <c r="F66" s="45">
        <f t="shared" si="5"/>
        <v>-0.0010830290950430014</v>
      </c>
    </row>
    <row r="67" spans="1:6" s="100" customFormat="1" ht="26.25">
      <c r="A67" s="39" t="s">
        <v>63</v>
      </c>
      <c r="B67" s="38">
        <v>5671211.04</v>
      </c>
      <c r="C67" s="38">
        <v>5461792</v>
      </c>
      <c r="D67" s="38">
        <v>5017515</v>
      </c>
      <c r="E67" s="38">
        <f t="shared" si="4"/>
        <v>-444277</v>
      </c>
      <c r="F67" s="34">
        <f t="shared" si="5"/>
        <v>-0.0813427168226106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88281</v>
      </c>
      <c r="C70" s="38">
        <v>99181</v>
      </c>
      <c r="D70" s="38">
        <v>15000</v>
      </c>
      <c r="E70" s="38">
        <f t="shared" si="4"/>
        <v>-84181</v>
      </c>
      <c r="F70" s="34">
        <f t="shared" si="5"/>
        <v>-0.8487613555015577</v>
      </c>
    </row>
    <row r="71" spans="1:6" s="102" customFormat="1" ht="26.25">
      <c r="A71" s="60" t="s">
        <v>67</v>
      </c>
      <c r="B71" s="61">
        <v>85850177.71000001</v>
      </c>
      <c r="C71" s="61">
        <v>87629867</v>
      </c>
      <c r="D71" s="61">
        <v>87012526</v>
      </c>
      <c r="E71" s="61">
        <f t="shared" si="4"/>
        <v>-617341</v>
      </c>
      <c r="F71" s="45">
        <f t="shared" si="5"/>
        <v>-0.007044869758846033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32514389.74</v>
      </c>
      <c r="C74" s="33">
        <v>29856331</v>
      </c>
      <c r="D74" s="33">
        <v>26336140</v>
      </c>
      <c r="E74" s="29">
        <f aca="true" t="shared" si="6" ref="E74:E92">D74-C74</f>
        <v>-3520191</v>
      </c>
      <c r="F74" s="34">
        <f aca="true" t="shared" si="7" ref="F74:F92">IF(ISBLANK(E74),"  ",IF(C74&gt;0,E74/C74,IF(E74&gt;0,1,0)))</f>
        <v>-0.11790433995389453</v>
      </c>
    </row>
    <row r="75" spans="1:6" s="100" customFormat="1" ht="26.25">
      <c r="A75" s="39" t="s">
        <v>70</v>
      </c>
      <c r="B75" s="36">
        <v>561716.72</v>
      </c>
      <c r="C75" s="36">
        <v>1211476</v>
      </c>
      <c r="D75" s="36">
        <v>1118707</v>
      </c>
      <c r="E75" s="38">
        <f t="shared" si="6"/>
        <v>-92769</v>
      </c>
      <c r="F75" s="34">
        <f t="shared" si="7"/>
        <v>-0.07657518597149263</v>
      </c>
    </row>
    <row r="76" spans="1:6" s="100" customFormat="1" ht="26.25">
      <c r="A76" s="39" t="s">
        <v>71</v>
      </c>
      <c r="B76" s="29">
        <v>22181874.73</v>
      </c>
      <c r="C76" s="29">
        <v>23356454</v>
      </c>
      <c r="D76" s="29">
        <v>24704964</v>
      </c>
      <c r="E76" s="38">
        <f t="shared" si="6"/>
        <v>1348510</v>
      </c>
      <c r="F76" s="34">
        <f t="shared" si="7"/>
        <v>0.05773607586151562</v>
      </c>
    </row>
    <row r="77" spans="1:6" s="102" customFormat="1" ht="26.25">
      <c r="A77" s="59" t="s">
        <v>72</v>
      </c>
      <c r="B77" s="61">
        <v>55257981.19</v>
      </c>
      <c r="C77" s="61">
        <v>54424261</v>
      </c>
      <c r="D77" s="61">
        <v>52159811</v>
      </c>
      <c r="E77" s="44">
        <f t="shared" si="6"/>
        <v>-2264450</v>
      </c>
      <c r="F77" s="45">
        <f t="shared" si="7"/>
        <v>-0.041607363304391035</v>
      </c>
    </row>
    <row r="78" spans="1:6" s="100" customFormat="1" ht="26.25">
      <c r="A78" s="39" t="s">
        <v>73</v>
      </c>
      <c r="B78" s="36">
        <v>71666.82</v>
      </c>
      <c r="C78" s="36">
        <v>268352</v>
      </c>
      <c r="D78" s="36">
        <v>271221</v>
      </c>
      <c r="E78" s="38">
        <f t="shared" si="6"/>
        <v>2869</v>
      </c>
      <c r="F78" s="34">
        <f t="shared" si="7"/>
        <v>0.010691181731457191</v>
      </c>
    </row>
    <row r="79" spans="1:6" s="100" customFormat="1" ht="26.25">
      <c r="A79" s="39" t="s">
        <v>74</v>
      </c>
      <c r="B79" s="33">
        <v>16668024.239999998</v>
      </c>
      <c r="C79" s="33">
        <v>19003750</v>
      </c>
      <c r="D79" s="33">
        <v>19273062</v>
      </c>
      <c r="E79" s="38">
        <f t="shared" si="6"/>
        <v>269312</v>
      </c>
      <c r="F79" s="34">
        <f t="shared" si="7"/>
        <v>0.014171518779188317</v>
      </c>
    </row>
    <row r="80" spans="1:6" s="100" customFormat="1" ht="26.25">
      <c r="A80" s="39" t="s">
        <v>75</v>
      </c>
      <c r="B80" s="29">
        <v>577856.39</v>
      </c>
      <c r="C80" s="29">
        <v>1826638</v>
      </c>
      <c r="D80" s="29">
        <v>1682759</v>
      </c>
      <c r="E80" s="38">
        <f t="shared" si="6"/>
        <v>-143879</v>
      </c>
      <c r="F80" s="34">
        <f t="shared" si="7"/>
        <v>-0.07876711203861958</v>
      </c>
    </row>
    <row r="81" spans="1:6" s="102" customFormat="1" ht="26.25">
      <c r="A81" s="42" t="s">
        <v>76</v>
      </c>
      <c r="B81" s="61">
        <v>17317547.45</v>
      </c>
      <c r="C81" s="61">
        <v>21098740</v>
      </c>
      <c r="D81" s="61">
        <v>21227042</v>
      </c>
      <c r="E81" s="44">
        <f t="shared" si="6"/>
        <v>128302</v>
      </c>
      <c r="F81" s="45">
        <f t="shared" si="7"/>
        <v>0.006081026639505487</v>
      </c>
    </row>
    <row r="82" spans="1:6" s="100" customFormat="1" ht="26.25">
      <c r="A82" s="39" t="s">
        <v>77</v>
      </c>
      <c r="B82" s="29">
        <v>3185022.4100000006</v>
      </c>
      <c r="C82" s="29">
        <v>1789221</v>
      </c>
      <c r="D82" s="29">
        <v>2568040</v>
      </c>
      <c r="E82" s="38">
        <f t="shared" si="6"/>
        <v>778819</v>
      </c>
      <c r="F82" s="34">
        <f t="shared" si="7"/>
        <v>0.43528384699262973</v>
      </c>
    </row>
    <row r="83" spans="1:6" s="100" customFormat="1" ht="26.25">
      <c r="A83" s="39" t="s">
        <v>78</v>
      </c>
      <c r="B83" s="38">
        <v>2536123.44</v>
      </c>
      <c r="C83" s="38">
        <v>1459667</v>
      </c>
      <c r="D83" s="38">
        <v>2817790</v>
      </c>
      <c r="E83" s="38">
        <f t="shared" si="6"/>
        <v>1358123</v>
      </c>
      <c r="F83" s="34">
        <f t="shared" si="7"/>
        <v>0.9304334481768787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6965497.34</v>
      </c>
      <c r="C85" s="38">
        <v>7347904</v>
      </c>
      <c r="D85" s="38">
        <v>6457343</v>
      </c>
      <c r="E85" s="38">
        <f t="shared" si="6"/>
        <v>-890561</v>
      </c>
      <c r="F85" s="34">
        <f t="shared" si="7"/>
        <v>-0.12119932432432433</v>
      </c>
    </row>
    <row r="86" spans="1:6" s="102" customFormat="1" ht="26.25">
      <c r="A86" s="42" t="s">
        <v>81</v>
      </c>
      <c r="B86" s="44">
        <v>12686643.190000001</v>
      </c>
      <c r="C86" s="44">
        <v>10596792</v>
      </c>
      <c r="D86" s="44">
        <v>11843173</v>
      </c>
      <c r="E86" s="44">
        <f t="shared" si="6"/>
        <v>1246381</v>
      </c>
      <c r="F86" s="45">
        <f t="shared" si="7"/>
        <v>0.11761870951133135</v>
      </c>
    </row>
    <row r="87" spans="1:6" s="100" customFormat="1" ht="26.25">
      <c r="A87" s="39" t="s">
        <v>82</v>
      </c>
      <c r="B87" s="38">
        <v>587440.77</v>
      </c>
      <c r="C87" s="38">
        <v>1500074</v>
      </c>
      <c r="D87" s="38">
        <v>1772500</v>
      </c>
      <c r="E87" s="38">
        <f t="shared" si="6"/>
        <v>272426</v>
      </c>
      <c r="F87" s="34">
        <f t="shared" si="7"/>
        <v>0.18160837398688331</v>
      </c>
    </row>
    <row r="88" spans="1:6" s="100" customFormat="1" ht="26.25">
      <c r="A88" s="39" t="s">
        <v>83</v>
      </c>
      <c r="B88" s="38">
        <v>565.11</v>
      </c>
      <c r="C88" s="38">
        <v>10000</v>
      </c>
      <c r="D88" s="38">
        <v>10000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588005.88</v>
      </c>
      <c r="C90" s="61">
        <v>1510074</v>
      </c>
      <c r="D90" s="61">
        <v>1782500</v>
      </c>
      <c r="E90" s="61">
        <f t="shared" si="6"/>
        <v>272426</v>
      </c>
      <c r="F90" s="45">
        <f t="shared" si="7"/>
        <v>0.18040572846098932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85850177.71000001</v>
      </c>
      <c r="C92" s="64">
        <v>87629867</v>
      </c>
      <c r="D92" s="64">
        <v>87012526</v>
      </c>
      <c r="E92" s="64">
        <f t="shared" si="6"/>
        <v>-617341</v>
      </c>
      <c r="F92" s="65">
        <f t="shared" si="7"/>
        <v>-0.007044869758846033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" t="s">
        <v>121</v>
      </c>
      <c r="E1" s="1"/>
      <c r="F1" s="1"/>
      <c r="G1" s="97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74536767.0300001</v>
      </c>
      <c r="C8" s="33">
        <v>74536767</v>
      </c>
      <c r="D8" s="33">
        <v>75847984</v>
      </c>
      <c r="E8" s="33">
        <f aca="true" t="shared" si="0" ref="E8:E29">D8-C8</f>
        <v>1311217</v>
      </c>
      <c r="F8" s="34">
        <f aca="true" t="shared" si="1" ref="F8:F29">IF(ISBLANK(E8),"  ",IF(C8&gt;0,E8/C8,IF(E8&gt;0,1,0)))</f>
        <v>0.017591546464579017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16816796</v>
      </c>
      <c r="C10" s="36">
        <v>21002025</v>
      </c>
      <c r="D10" s="36">
        <v>4234423</v>
      </c>
      <c r="E10" s="36">
        <f t="shared" si="0"/>
        <v>-16767602</v>
      </c>
      <c r="F10" s="34">
        <f t="shared" si="1"/>
        <v>-0.7983802514281361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3784322</v>
      </c>
      <c r="C12" s="38">
        <v>4366084</v>
      </c>
      <c r="D12" s="38">
        <v>4234423</v>
      </c>
      <c r="E12" s="36">
        <f t="shared" si="0"/>
        <v>-131661</v>
      </c>
      <c r="F12" s="34">
        <f t="shared" si="1"/>
        <v>-0.03015539783476452</v>
      </c>
    </row>
    <row r="13" spans="1:6" s="100" customFormat="1" ht="26.25">
      <c r="A13" s="39" t="s">
        <v>17</v>
      </c>
      <c r="B13" s="38">
        <v>13032474</v>
      </c>
      <c r="C13" s="38">
        <v>16635941</v>
      </c>
      <c r="D13" s="38">
        <v>0</v>
      </c>
      <c r="E13" s="36">
        <f t="shared" si="0"/>
        <v>-16635941</v>
      </c>
      <c r="F13" s="34">
        <f t="shared" si="1"/>
        <v>-1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91353564.03000012</v>
      </c>
      <c r="C35" s="44">
        <v>95538792</v>
      </c>
      <c r="D35" s="44">
        <v>80082407</v>
      </c>
      <c r="E35" s="44">
        <f>D35-C35</f>
        <v>-15456385</v>
      </c>
      <c r="F35" s="45">
        <f>IF(ISBLANK(E35),"  ",IF(C35&gt;0,E35/C35,IF(E35&gt;0,1,0)))</f>
        <v>-0.16178124797726143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58910443</v>
      </c>
      <c r="C48" s="50">
        <v>59882105</v>
      </c>
      <c r="D48" s="50">
        <v>58996024</v>
      </c>
      <c r="E48" s="50">
        <f>D48-C48</f>
        <v>-886081</v>
      </c>
      <c r="F48" s="45">
        <f>IF(ISBLANK(E48),"  ",IF(C48&gt;0,E48/C48,IF(E48&gt;0,1,0)))</f>
        <v>-0.014797091718803139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150264007.03000012</v>
      </c>
      <c r="C54" s="50">
        <v>155420897</v>
      </c>
      <c r="D54" s="50">
        <v>139078431</v>
      </c>
      <c r="E54" s="50">
        <f>D54-C54</f>
        <v>-16342466</v>
      </c>
      <c r="F54" s="45">
        <f>IF(ISBLANK(E54),"  ",IF(C54&gt;0,E54/C54,IF(E54&gt;0,1,0)))</f>
        <v>-0.10514973414418011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60309108</v>
      </c>
      <c r="C58" s="29">
        <v>60803192</v>
      </c>
      <c r="D58" s="29">
        <v>61505061</v>
      </c>
      <c r="E58" s="29">
        <f aca="true" t="shared" si="4" ref="E58:E71">D58-C58</f>
        <v>701869</v>
      </c>
      <c r="F58" s="34">
        <f aca="true" t="shared" si="5" ref="F58:F71">IF(ISBLANK(E58),"  ",IF(C58&gt;0,E58/C58,IF(E58&gt;0,1,0)))</f>
        <v>0.011543292003485606</v>
      </c>
    </row>
    <row r="59" spans="1:6" s="100" customFormat="1" ht="26.25">
      <c r="A59" s="39" t="s">
        <v>55</v>
      </c>
      <c r="B59" s="38">
        <v>14462120</v>
      </c>
      <c r="C59" s="38">
        <v>15700993</v>
      </c>
      <c r="D59" s="38">
        <v>6018336</v>
      </c>
      <c r="E59" s="38">
        <f t="shared" si="4"/>
        <v>-9682657</v>
      </c>
      <c r="F59" s="34">
        <f t="shared" si="5"/>
        <v>-0.6166907405155839</v>
      </c>
    </row>
    <row r="60" spans="1:6" s="100" customFormat="1" ht="26.25">
      <c r="A60" s="39" t="s">
        <v>56</v>
      </c>
      <c r="B60" s="38">
        <v>5285393</v>
      </c>
      <c r="C60" s="38">
        <v>6746798</v>
      </c>
      <c r="D60" s="38">
        <v>0</v>
      </c>
      <c r="E60" s="38">
        <f t="shared" si="4"/>
        <v>-6746798</v>
      </c>
      <c r="F60" s="34">
        <f t="shared" si="5"/>
        <v>-1</v>
      </c>
    </row>
    <row r="61" spans="1:6" s="100" customFormat="1" ht="26.25">
      <c r="A61" s="39" t="s">
        <v>57</v>
      </c>
      <c r="B61" s="38">
        <v>13979376</v>
      </c>
      <c r="C61" s="38">
        <v>15220046</v>
      </c>
      <c r="D61" s="38">
        <v>13074858</v>
      </c>
      <c r="E61" s="38">
        <f t="shared" si="4"/>
        <v>-2145188</v>
      </c>
      <c r="F61" s="34">
        <f t="shared" si="5"/>
        <v>-0.1409449091021144</v>
      </c>
    </row>
    <row r="62" spans="1:6" s="100" customFormat="1" ht="26.25">
      <c r="A62" s="39" t="s">
        <v>58</v>
      </c>
      <c r="B62" s="38">
        <v>3912213</v>
      </c>
      <c r="C62" s="38">
        <v>3969209</v>
      </c>
      <c r="D62" s="38">
        <v>3476790</v>
      </c>
      <c r="E62" s="38">
        <f t="shared" si="4"/>
        <v>-492419</v>
      </c>
      <c r="F62" s="34">
        <f t="shared" si="5"/>
        <v>-0.12405973079270959</v>
      </c>
    </row>
    <row r="63" spans="1:6" s="100" customFormat="1" ht="26.25">
      <c r="A63" s="39" t="s">
        <v>59</v>
      </c>
      <c r="B63" s="38">
        <v>13171539.399999999</v>
      </c>
      <c r="C63" s="38">
        <v>12332740</v>
      </c>
      <c r="D63" s="38">
        <v>20431089</v>
      </c>
      <c r="E63" s="38">
        <f t="shared" si="4"/>
        <v>8098349</v>
      </c>
      <c r="F63" s="34">
        <f t="shared" si="5"/>
        <v>0.6566544822967159</v>
      </c>
    </row>
    <row r="64" spans="1:6" s="100" customFormat="1" ht="26.25">
      <c r="A64" s="39" t="s">
        <v>60</v>
      </c>
      <c r="B64" s="38">
        <v>4269550</v>
      </c>
      <c r="C64" s="38">
        <v>4048979</v>
      </c>
      <c r="D64" s="38">
        <v>4107783</v>
      </c>
      <c r="E64" s="38">
        <f t="shared" si="4"/>
        <v>58804</v>
      </c>
      <c r="F64" s="34">
        <f t="shared" si="5"/>
        <v>0.01452316744542266</v>
      </c>
    </row>
    <row r="65" spans="1:6" s="100" customFormat="1" ht="26.25">
      <c r="A65" s="39" t="s">
        <v>61</v>
      </c>
      <c r="B65" s="38">
        <v>28759351</v>
      </c>
      <c r="C65" s="38">
        <v>30335546</v>
      </c>
      <c r="D65" s="38">
        <v>30202000</v>
      </c>
      <c r="E65" s="38">
        <f t="shared" si="4"/>
        <v>-133546</v>
      </c>
      <c r="F65" s="34">
        <f t="shared" si="5"/>
        <v>-0.004402294259018776</v>
      </c>
    </row>
    <row r="66" spans="1:6" s="102" customFormat="1" ht="26.25">
      <c r="A66" s="59" t="s">
        <v>62</v>
      </c>
      <c r="B66" s="44">
        <v>144148650.4</v>
      </c>
      <c r="C66" s="44">
        <v>149157503</v>
      </c>
      <c r="D66" s="44">
        <v>138815917</v>
      </c>
      <c r="E66" s="44">
        <f t="shared" si="4"/>
        <v>-10341586</v>
      </c>
      <c r="F66" s="45">
        <f t="shared" si="5"/>
        <v>-0.06933332746928594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6115357</v>
      </c>
      <c r="C68" s="38">
        <v>6263394</v>
      </c>
      <c r="D68" s="38">
        <v>262514</v>
      </c>
      <c r="E68" s="38">
        <f t="shared" si="4"/>
        <v>-6000880</v>
      </c>
      <c r="F68" s="34">
        <f t="shared" si="5"/>
        <v>-0.9580875799925728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150264007.4</v>
      </c>
      <c r="C71" s="61">
        <v>155420897</v>
      </c>
      <c r="D71" s="61">
        <v>139078431</v>
      </c>
      <c r="E71" s="61">
        <f t="shared" si="4"/>
        <v>-16342466</v>
      </c>
      <c r="F71" s="45">
        <f t="shared" si="5"/>
        <v>-0.10514973414418011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65898697.12</v>
      </c>
      <c r="C74" s="33">
        <v>66602584</v>
      </c>
      <c r="D74" s="33">
        <v>68918606</v>
      </c>
      <c r="E74" s="29">
        <f aca="true" t="shared" si="6" ref="E74:E92">D74-C74</f>
        <v>2316022</v>
      </c>
      <c r="F74" s="34">
        <f aca="true" t="shared" si="7" ref="F74:F92">IF(ISBLANK(E74),"  ",IF(C74&gt;0,E74/C74,IF(E74&gt;0,1,0)))</f>
        <v>0.034773755925145484</v>
      </c>
    </row>
    <row r="75" spans="1:6" s="100" customFormat="1" ht="26.25">
      <c r="A75" s="39" t="s">
        <v>70</v>
      </c>
      <c r="B75" s="36">
        <v>1320201.94</v>
      </c>
      <c r="C75" s="36">
        <v>1201637</v>
      </c>
      <c r="D75" s="36">
        <v>1108941</v>
      </c>
      <c r="E75" s="38">
        <f t="shared" si="6"/>
        <v>-92696</v>
      </c>
      <c r="F75" s="34">
        <f t="shared" si="7"/>
        <v>-0.077141432895292</v>
      </c>
    </row>
    <row r="76" spans="1:6" s="100" customFormat="1" ht="26.25">
      <c r="A76" s="39" t="s">
        <v>71</v>
      </c>
      <c r="B76" s="29">
        <v>20358165.34</v>
      </c>
      <c r="C76" s="29">
        <v>20302448</v>
      </c>
      <c r="D76" s="29">
        <v>26004298</v>
      </c>
      <c r="E76" s="38">
        <f t="shared" si="6"/>
        <v>5701850</v>
      </c>
      <c r="F76" s="34">
        <f t="shared" si="7"/>
        <v>0.28084544287467206</v>
      </c>
    </row>
    <row r="77" spans="1:6" s="102" customFormat="1" ht="26.25">
      <c r="A77" s="59" t="s">
        <v>72</v>
      </c>
      <c r="B77" s="61">
        <v>87577064.4</v>
      </c>
      <c r="C77" s="61">
        <v>88106669</v>
      </c>
      <c r="D77" s="61">
        <v>96031845</v>
      </c>
      <c r="E77" s="44">
        <f t="shared" si="6"/>
        <v>7925176</v>
      </c>
      <c r="F77" s="45">
        <f t="shared" si="7"/>
        <v>0.08994978575344847</v>
      </c>
    </row>
    <row r="78" spans="1:6" s="100" customFormat="1" ht="26.25">
      <c r="A78" s="39" t="s">
        <v>73</v>
      </c>
      <c r="B78" s="36">
        <v>280605</v>
      </c>
      <c r="C78" s="36">
        <v>318230</v>
      </c>
      <c r="D78" s="36">
        <v>259482</v>
      </c>
      <c r="E78" s="38">
        <f t="shared" si="6"/>
        <v>-58748</v>
      </c>
      <c r="F78" s="34">
        <f t="shared" si="7"/>
        <v>-0.18460861640951512</v>
      </c>
    </row>
    <row r="79" spans="1:6" s="100" customFormat="1" ht="26.25">
      <c r="A79" s="39" t="s">
        <v>74</v>
      </c>
      <c r="B79" s="33">
        <v>18345202</v>
      </c>
      <c r="C79" s="33">
        <v>20928092</v>
      </c>
      <c r="D79" s="33">
        <v>21757213</v>
      </c>
      <c r="E79" s="38">
        <f t="shared" si="6"/>
        <v>829121</v>
      </c>
      <c r="F79" s="34">
        <f t="shared" si="7"/>
        <v>0.039617610625947174</v>
      </c>
    </row>
    <row r="80" spans="1:6" s="100" customFormat="1" ht="26.25">
      <c r="A80" s="39" t="s">
        <v>75</v>
      </c>
      <c r="B80" s="29">
        <v>6062226</v>
      </c>
      <c r="C80" s="29">
        <v>4074160</v>
      </c>
      <c r="D80" s="29">
        <v>4377091</v>
      </c>
      <c r="E80" s="38">
        <f t="shared" si="6"/>
        <v>302931</v>
      </c>
      <c r="F80" s="34">
        <f t="shared" si="7"/>
        <v>0.0743542227109392</v>
      </c>
    </row>
    <row r="81" spans="1:6" s="102" customFormat="1" ht="26.25">
      <c r="A81" s="42" t="s">
        <v>76</v>
      </c>
      <c r="B81" s="61">
        <v>24688033</v>
      </c>
      <c r="C81" s="61">
        <v>25320482</v>
      </c>
      <c r="D81" s="61">
        <v>26393786</v>
      </c>
      <c r="E81" s="44">
        <f t="shared" si="6"/>
        <v>1073304</v>
      </c>
      <c r="F81" s="45">
        <f t="shared" si="7"/>
        <v>0.042388766532959365</v>
      </c>
    </row>
    <row r="82" spans="1:6" s="100" customFormat="1" ht="26.25">
      <c r="A82" s="39" t="s">
        <v>77</v>
      </c>
      <c r="B82" s="29">
        <v>1867158</v>
      </c>
      <c r="C82" s="29">
        <v>2230665</v>
      </c>
      <c r="D82" s="29">
        <v>2171240</v>
      </c>
      <c r="E82" s="38">
        <f t="shared" si="6"/>
        <v>-59425</v>
      </c>
      <c r="F82" s="34">
        <f t="shared" si="7"/>
        <v>-0.026640037836250626</v>
      </c>
    </row>
    <row r="83" spans="1:6" s="100" customFormat="1" ht="26.25">
      <c r="A83" s="39" t="s">
        <v>78</v>
      </c>
      <c r="B83" s="38">
        <v>24466368</v>
      </c>
      <c r="C83" s="38">
        <v>28591825</v>
      </c>
      <c r="D83" s="38">
        <v>5260000</v>
      </c>
      <c r="E83" s="38">
        <f t="shared" si="6"/>
        <v>-23331825</v>
      </c>
      <c r="F83" s="34">
        <f t="shared" si="7"/>
        <v>-0.8160313306338438</v>
      </c>
    </row>
    <row r="84" spans="1:6" s="100" customFormat="1" ht="26.25">
      <c r="A84" s="39" t="s">
        <v>79</v>
      </c>
      <c r="B84" s="38">
        <v>112820</v>
      </c>
      <c r="C84" s="38">
        <v>263394</v>
      </c>
      <c r="D84" s="38">
        <v>262514</v>
      </c>
      <c r="E84" s="38">
        <f t="shared" si="6"/>
        <v>-880</v>
      </c>
      <c r="F84" s="34">
        <f t="shared" si="7"/>
        <v>-0.0033410024525995278</v>
      </c>
    </row>
    <row r="85" spans="1:6" s="100" customFormat="1" ht="26.25">
      <c r="A85" s="39" t="s">
        <v>80</v>
      </c>
      <c r="B85" s="38">
        <v>8450937</v>
      </c>
      <c r="C85" s="38">
        <v>8714034</v>
      </c>
      <c r="D85" s="38">
        <v>8655046</v>
      </c>
      <c r="E85" s="38">
        <f t="shared" si="6"/>
        <v>-58988</v>
      </c>
      <c r="F85" s="34">
        <f t="shared" si="7"/>
        <v>-0.006769310287290594</v>
      </c>
    </row>
    <row r="86" spans="1:6" s="102" customFormat="1" ht="26.25">
      <c r="A86" s="42" t="s">
        <v>81</v>
      </c>
      <c r="B86" s="44">
        <v>34897283</v>
      </c>
      <c r="C86" s="44">
        <v>39799918</v>
      </c>
      <c r="D86" s="44">
        <v>16348800</v>
      </c>
      <c r="E86" s="44">
        <f t="shared" si="6"/>
        <v>-23451118</v>
      </c>
      <c r="F86" s="45">
        <f t="shared" si="7"/>
        <v>-0.5892252843335004</v>
      </c>
    </row>
    <row r="87" spans="1:6" s="100" customFormat="1" ht="26.25">
      <c r="A87" s="39" t="s">
        <v>82</v>
      </c>
      <c r="B87" s="38">
        <v>1278060</v>
      </c>
      <c r="C87" s="38">
        <v>226201</v>
      </c>
      <c r="D87" s="38">
        <v>290683</v>
      </c>
      <c r="E87" s="38">
        <f t="shared" si="6"/>
        <v>64482</v>
      </c>
      <c r="F87" s="34">
        <f t="shared" si="7"/>
        <v>0.2850650527628083</v>
      </c>
    </row>
    <row r="88" spans="1:6" s="100" customFormat="1" ht="26.25">
      <c r="A88" s="39" t="s">
        <v>83</v>
      </c>
      <c r="B88" s="38">
        <v>14203</v>
      </c>
      <c r="C88" s="38">
        <v>1967627</v>
      </c>
      <c r="D88" s="38">
        <v>13317</v>
      </c>
      <c r="E88" s="38">
        <f t="shared" si="6"/>
        <v>-1954310</v>
      </c>
      <c r="F88" s="34">
        <f t="shared" si="7"/>
        <v>-0.9932319489415423</v>
      </c>
    </row>
    <row r="89" spans="1:6" s="100" customFormat="1" ht="26.25">
      <c r="A89" s="48" t="s">
        <v>84</v>
      </c>
      <c r="B89" s="38">
        <v>1809364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3101627</v>
      </c>
      <c r="C90" s="61">
        <v>2193828</v>
      </c>
      <c r="D90" s="61">
        <v>304000</v>
      </c>
      <c r="E90" s="61">
        <f t="shared" si="6"/>
        <v>-1889828</v>
      </c>
      <c r="F90" s="45">
        <f t="shared" si="7"/>
        <v>-0.8614294283781591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150264007.4</v>
      </c>
      <c r="C92" s="64">
        <v>155420897</v>
      </c>
      <c r="D92" s="64">
        <v>139078431</v>
      </c>
      <c r="E92" s="64">
        <f t="shared" si="6"/>
        <v>-16342466</v>
      </c>
      <c r="F92" s="65">
        <f t="shared" si="7"/>
        <v>-0.10514973414418011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119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66594891</v>
      </c>
      <c r="C8" s="33">
        <v>66594891</v>
      </c>
      <c r="D8" s="33">
        <v>67696729</v>
      </c>
      <c r="E8" s="33">
        <f aca="true" t="shared" si="0" ref="E8:E29">D8-C8</f>
        <v>1101838</v>
      </c>
      <c r="F8" s="34">
        <f aca="true" t="shared" si="1" ref="F8:F29">IF(ISBLANK(E8),"  ",IF(C8&gt;0,E8/C8,IF(E8&gt;0,1,0)))</f>
        <v>0.01654538333879096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4542214.84</v>
      </c>
      <c r="C10" s="36">
        <v>5580285</v>
      </c>
      <c r="D10" s="36">
        <v>4352059</v>
      </c>
      <c r="E10" s="36">
        <f t="shared" si="0"/>
        <v>-1228226</v>
      </c>
      <c r="F10" s="34">
        <f t="shared" si="1"/>
        <v>-0.22010094466501262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2664281.27</v>
      </c>
      <c r="C12" s="38">
        <v>3073860</v>
      </c>
      <c r="D12" s="38">
        <v>2981167</v>
      </c>
      <c r="E12" s="36">
        <f t="shared" si="0"/>
        <v>-92693</v>
      </c>
      <c r="F12" s="34">
        <f t="shared" si="1"/>
        <v>-0.030155244545945488</v>
      </c>
    </row>
    <row r="13" spans="1:6" s="100" customFormat="1" ht="26.25">
      <c r="A13" s="39" t="s">
        <v>17</v>
      </c>
      <c r="B13" s="38">
        <v>1877933.57</v>
      </c>
      <c r="C13" s="38">
        <v>2506425</v>
      </c>
      <c r="D13" s="38">
        <v>1370892</v>
      </c>
      <c r="E13" s="36">
        <f t="shared" si="0"/>
        <v>-1135533</v>
      </c>
      <c r="F13" s="34">
        <f t="shared" si="1"/>
        <v>-0.4530488644184446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71137105.84</v>
      </c>
      <c r="C35" s="44">
        <v>72175176</v>
      </c>
      <c r="D35" s="44">
        <v>72048788</v>
      </c>
      <c r="E35" s="44">
        <f>D35-C35</f>
        <v>-126388</v>
      </c>
      <c r="F35" s="45">
        <f>IF(ISBLANK(E35),"  ",IF(C35&gt;0,E35/C35,IF(E35&gt;0,1,0)))</f>
        <v>-0.001751128393507485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3859785.57</v>
      </c>
      <c r="C48" s="50">
        <v>6807967</v>
      </c>
      <c r="D48" s="50">
        <v>6807967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9758657</v>
      </c>
      <c r="C50" s="54">
        <v>13018275</v>
      </c>
      <c r="D50" s="54">
        <v>13018275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84755549.41</v>
      </c>
      <c r="C54" s="50">
        <v>92001418</v>
      </c>
      <c r="D54" s="50">
        <v>91875030</v>
      </c>
      <c r="E54" s="50">
        <f>D54-C54</f>
        <v>-126388</v>
      </c>
      <c r="F54" s="45">
        <f>IF(ISBLANK(E54),"  ",IF(C54&gt;0,E54/C54,IF(E54&gt;0,1,0)))</f>
        <v>-0.001373761434850928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37394087.656923</v>
      </c>
      <c r="C59" s="38">
        <v>39871609</v>
      </c>
      <c r="D59" s="38">
        <v>40287245.90535502</v>
      </c>
      <c r="E59" s="38">
        <f t="shared" si="4"/>
        <v>415636.90535502136</v>
      </c>
      <c r="F59" s="34">
        <f t="shared" si="5"/>
        <v>0.010424382556395488</v>
      </c>
    </row>
    <row r="60" spans="1:6" s="100" customFormat="1" ht="26.25">
      <c r="A60" s="39" t="s">
        <v>56</v>
      </c>
      <c r="B60" s="38">
        <v>30004103.033129454</v>
      </c>
      <c r="C60" s="38">
        <v>32933671</v>
      </c>
      <c r="D60" s="38">
        <v>33390109.010859765</v>
      </c>
      <c r="E60" s="38">
        <f t="shared" si="4"/>
        <v>456438.0108597651</v>
      </c>
      <c r="F60" s="34">
        <f t="shared" si="5"/>
        <v>0.013859311671017942</v>
      </c>
    </row>
    <row r="61" spans="1:6" s="100" customFormat="1" ht="26.25">
      <c r="A61" s="39" t="s">
        <v>57</v>
      </c>
      <c r="B61" s="38">
        <v>3222192.670102151</v>
      </c>
      <c r="C61" s="38">
        <v>3325834</v>
      </c>
      <c r="D61" s="38">
        <v>3144204.0007918505</v>
      </c>
      <c r="E61" s="38">
        <f t="shared" si="4"/>
        <v>-181629.9992081495</v>
      </c>
      <c r="F61" s="34">
        <f t="shared" si="5"/>
        <v>-0.05461186553753119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10164200.776897129</v>
      </c>
      <c r="C63" s="38">
        <v>11122718</v>
      </c>
      <c r="D63" s="38">
        <v>10697306.981605146</v>
      </c>
      <c r="E63" s="38">
        <f t="shared" si="4"/>
        <v>-425411.0183948539</v>
      </c>
      <c r="F63" s="34">
        <f t="shared" si="5"/>
        <v>-0.03824703803466508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3970963.725311795</v>
      </c>
      <c r="C65" s="38">
        <v>4747586</v>
      </c>
      <c r="D65" s="38">
        <v>4356164.061065758</v>
      </c>
      <c r="E65" s="38">
        <f t="shared" si="4"/>
        <v>-391421.93893424235</v>
      </c>
      <c r="F65" s="34">
        <f t="shared" si="5"/>
        <v>-0.08244651891176745</v>
      </c>
    </row>
    <row r="66" spans="1:6" s="102" customFormat="1" ht="26.25">
      <c r="A66" s="59" t="s">
        <v>62</v>
      </c>
      <c r="B66" s="44">
        <v>84755547.86236353</v>
      </c>
      <c r="C66" s="44">
        <v>92001418</v>
      </c>
      <c r="D66" s="44">
        <v>91875029.95967755</v>
      </c>
      <c r="E66" s="44">
        <f t="shared" si="4"/>
        <v>-126388.04032245278</v>
      </c>
      <c r="F66" s="45">
        <f t="shared" si="5"/>
        <v>-0.001373761873131703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84755548.86236353</v>
      </c>
      <c r="C71" s="61">
        <v>92001418</v>
      </c>
      <c r="D71" s="61">
        <v>91875029.95967755</v>
      </c>
      <c r="E71" s="61">
        <f t="shared" si="4"/>
        <v>-126388.04032245278</v>
      </c>
      <c r="F71" s="45">
        <f t="shared" si="5"/>
        <v>-0.001373761873131703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39139429.150000006</v>
      </c>
      <c r="C74" s="33">
        <v>42790776</v>
      </c>
      <c r="D74" s="33">
        <v>41858608</v>
      </c>
      <c r="E74" s="29">
        <f aca="true" t="shared" si="6" ref="E74:E92">D74-C74</f>
        <v>-932168</v>
      </c>
      <c r="F74" s="34">
        <f aca="true" t="shared" si="7" ref="F74:F92">IF(ISBLANK(E74),"  ",IF(C74&gt;0,E74/C74,IF(E74&gt;0,1,0)))</f>
        <v>-0.021784320994786353</v>
      </c>
    </row>
    <row r="75" spans="1:6" s="100" customFormat="1" ht="26.25">
      <c r="A75" s="39" t="s">
        <v>70</v>
      </c>
      <c r="B75" s="36">
        <v>7245925.099999999</v>
      </c>
      <c r="C75" s="33">
        <v>2738210</v>
      </c>
      <c r="D75" s="33">
        <v>2948537</v>
      </c>
      <c r="E75" s="38">
        <f t="shared" si="6"/>
        <v>210327</v>
      </c>
      <c r="F75" s="34">
        <f t="shared" si="7"/>
        <v>0.07681185884209027</v>
      </c>
    </row>
    <row r="76" spans="1:6" s="100" customFormat="1" ht="26.25">
      <c r="A76" s="39" t="s">
        <v>71</v>
      </c>
      <c r="B76" s="29">
        <v>23184769.802363537</v>
      </c>
      <c r="C76" s="33">
        <v>25653827</v>
      </c>
      <c r="D76" s="33">
        <v>25632699.959677543</v>
      </c>
      <c r="E76" s="38">
        <f t="shared" si="6"/>
        <v>-21127.04032245651</v>
      </c>
      <c r="F76" s="34">
        <f t="shared" si="7"/>
        <v>-0.0008235434160547083</v>
      </c>
    </row>
    <row r="77" spans="1:6" s="102" customFormat="1" ht="26.25">
      <c r="A77" s="59" t="s">
        <v>72</v>
      </c>
      <c r="B77" s="61">
        <v>69570124.05236354</v>
      </c>
      <c r="C77" s="61">
        <v>71182813</v>
      </c>
      <c r="D77" s="61">
        <v>70439844.95967755</v>
      </c>
      <c r="E77" s="44">
        <f t="shared" si="6"/>
        <v>-742968.0403224528</v>
      </c>
      <c r="F77" s="45">
        <f t="shared" si="7"/>
        <v>-0.010437463890650863</v>
      </c>
    </row>
    <row r="78" spans="1:6" s="100" customFormat="1" ht="26.25">
      <c r="A78" s="39" t="s">
        <v>73</v>
      </c>
      <c r="B78" s="36">
        <v>1289734.9500000002</v>
      </c>
      <c r="C78" s="36">
        <v>2452412</v>
      </c>
      <c r="D78" s="36">
        <v>2254418</v>
      </c>
      <c r="E78" s="38">
        <f t="shared" si="6"/>
        <v>-197994</v>
      </c>
      <c r="F78" s="34">
        <f t="shared" si="7"/>
        <v>-0.08073439536260628</v>
      </c>
    </row>
    <row r="79" spans="1:6" s="100" customFormat="1" ht="26.25">
      <c r="A79" s="39" t="s">
        <v>74</v>
      </c>
      <c r="B79" s="33">
        <v>6656576.11</v>
      </c>
      <c r="C79" s="33">
        <v>9839952</v>
      </c>
      <c r="D79" s="33">
        <v>10906031</v>
      </c>
      <c r="E79" s="38">
        <f t="shared" si="6"/>
        <v>1066079</v>
      </c>
      <c r="F79" s="34">
        <f t="shared" si="7"/>
        <v>0.10834189028564367</v>
      </c>
    </row>
    <row r="80" spans="1:6" s="100" customFormat="1" ht="26.25">
      <c r="A80" s="39" t="s">
        <v>75</v>
      </c>
      <c r="B80" s="29">
        <v>3490121.8400000003</v>
      </c>
      <c r="C80" s="29">
        <v>6125731</v>
      </c>
      <c r="D80" s="29">
        <v>6100881</v>
      </c>
      <c r="E80" s="38">
        <f t="shared" si="6"/>
        <v>-24850</v>
      </c>
      <c r="F80" s="34">
        <f t="shared" si="7"/>
        <v>-0.0040566587073444784</v>
      </c>
    </row>
    <row r="81" spans="1:6" s="102" customFormat="1" ht="26.25">
      <c r="A81" s="42" t="s">
        <v>76</v>
      </c>
      <c r="B81" s="61">
        <v>11436432.9</v>
      </c>
      <c r="C81" s="61">
        <v>18418095</v>
      </c>
      <c r="D81" s="61">
        <v>19261330</v>
      </c>
      <c r="E81" s="44">
        <f t="shared" si="6"/>
        <v>843235</v>
      </c>
      <c r="F81" s="45">
        <f t="shared" si="7"/>
        <v>0.0457829650677771</v>
      </c>
    </row>
    <row r="82" spans="1:6" s="100" customFormat="1" ht="26.25">
      <c r="A82" s="39" t="s">
        <v>77</v>
      </c>
      <c r="B82" s="29">
        <v>787854.6000000001</v>
      </c>
      <c r="C82" s="29">
        <v>211851</v>
      </c>
      <c r="D82" s="29">
        <v>209351</v>
      </c>
      <c r="E82" s="38">
        <f t="shared" si="6"/>
        <v>-2500</v>
      </c>
      <c r="F82" s="34">
        <f t="shared" si="7"/>
        <v>-0.011800746751254419</v>
      </c>
    </row>
    <row r="83" spans="1:6" s="100" customFormat="1" ht="26.25">
      <c r="A83" s="39" t="s">
        <v>78</v>
      </c>
      <c r="B83" s="38">
        <v>145136.5</v>
      </c>
      <c r="C83" s="38">
        <v>319611</v>
      </c>
      <c r="D83" s="38">
        <v>237038</v>
      </c>
      <c r="E83" s="38">
        <f t="shared" si="6"/>
        <v>-82573</v>
      </c>
      <c r="F83" s="34">
        <f t="shared" si="7"/>
        <v>-0.25835468741689116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1749161.62</v>
      </c>
      <c r="C85" s="38">
        <v>1854194</v>
      </c>
      <c r="D85" s="38">
        <v>1712616</v>
      </c>
      <c r="E85" s="38">
        <f t="shared" si="6"/>
        <v>-141578</v>
      </c>
      <c r="F85" s="34">
        <f t="shared" si="7"/>
        <v>-0.0763555485564078</v>
      </c>
    </row>
    <row r="86" spans="1:6" s="102" customFormat="1" ht="26.25">
      <c r="A86" s="42" t="s">
        <v>81</v>
      </c>
      <c r="B86" s="44">
        <v>2682152.72</v>
      </c>
      <c r="C86" s="44">
        <v>2385656</v>
      </c>
      <c r="D86" s="44">
        <v>2159005</v>
      </c>
      <c r="E86" s="44">
        <f t="shared" si="6"/>
        <v>-226651</v>
      </c>
      <c r="F86" s="45">
        <f t="shared" si="7"/>
        <v>-0.09500573427183132</v>
      </c>
    </row>
    <row r="87" spans="1:6" s="100" customFormat="1" ht="26.25">
      <c r="A87" s="39" t="s">
        <v>82</v>
      </c>
      <c r="B87" s="38">
        <v>931218.5800000001</v>
      </c>
      <c r="C87" s="38">
        <v>14854</v>
      </c>
      <c r="D87" s="38">
        <v>14850</v>
      </c>
      <c r="E87" s="38">
        <f t="shared" si="6"/>
        <v>-4</v>
      </c>
      <c r="F87" s="34">
        <f t="shared" si="7"/>
        <v>-0.00026928773394371884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135620.61000000002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1066839.1900000002</v>
      </c>
      <c r="C90" s="61">
        <v>14854</v>
      </c>
      <c r="D90" s="61">
        <v>14850</v>
      </c>
      <c r="E90" s="61">
        <f t="shared" si="6"/>
        <v>-4</v>
      </c>
      <c r="F90" s="45">
        <f t="shared" si="7"/>
        <v>-0.00026928773394371884</v>
      </c>
    </row>
    <row r="91" spans="1:6" s="100" customFormat="1" ht="26.25">
      <c r="A91" s="48" t="s">
        <v>86</v>
      </c>
      <c r="B91" s="38">
        <v>0</v>
      </c>
      <c r="C91" s="38">
        <v>0</v>
      </c>
      <c r="D91" s="36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84755548.86236355</v>
      </c>
      <c r="C92" s="64">
        <v>92001418</v>
      </c>
      <c r="D92" s="236">
        <v>91875029.95967755</v>
      </c>
      <c r="E92" s="64">
        <f t="shared" si="6"/>
        <v>-126388.04032245278</v>
      </c>
      <c r="F92" s="65">
        <f t="shared" si="7"/>
        <v>-0.001373761873131703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94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ULSummary!B8-ULBoard!B8+LSU!B8+LSUA!B8+LSUS!B8+SUBR!B8+SUNO!B8</f>
        <v>359744186.38</v>
      </c>
      <c r="C8" s="33">
        <f>ULSummary!C8-ULBoard!C8+LSU!C8+LSUA!C8+LSUS!C8+SUBR!C8+SUNO!C8</f>
        <v>359744186</v>
      </c>
      <c r="D8" s="33">
        <f>ULSummary!D8-ULBoard!D8+LSU!D8+LSUA!D8+LSUS!D8+SUBR!D8+SUNO!D8</f>
        <v>366686299</v>
      </c>
      <c r="E8" s="33">
        <f aca="true" t="shared" si="0" ref="E8:E29">D8-C8</f>
        <v>6942113</v>
      </c>
      <c r="F8" s="34">
        <f aca="true" t="shared" si="1" ref="F8:F29">IF(ISBLANK(E8),"  ",IF(C8&gt;0,E8/C8,IF(E8&gt;0,1,0)))</f>
        <v>0.01929735981890198</v>
      </c>
    </row>
    <row r="9" spans="1:6" s="24" customFormat="1" ht="26.25">
      <c r="A9" s="32" t="s">
        <v>13</v>
      </c>
      <c r="B9" s="33">
        <f>ULSummary!B9-ULBoard!B9+LSU!B9+LSUA!B9+LSUS!B9+SUBR!B9+SUNO!B9</f>
        <v>0</v>
      </c>
      <c r="C9" s="33">
        <f>ULSummary!C9-ULBoard!C9+LSU!C9+LSUA!C9+LSUS!C9+SUBR!C9+SUNO!C9</f>
        <v>0</v>
      </c>
      <c r="D9" s="33">
        <f>ULSummary!D9-ULBoard!D9+LSU!D9+LSUA!D9+LSUS!D9+SUBR!D9+SUNO!D9</f>
        <v>0</v>
      </c>
      <c r="E9" s="33">
        <f t="shared" si="0"/>
        <v>0</v>
      </c>
      <c r="F9" s="34">
        <f t="shared" si="1"/>
        <v>0</v>
      </c>
    </row>
    <row r="10" spans="1:6" s="24" customFormat="1" ht="26.25">
      <c r="A10" s="35" t="s">
        <v>14</v>
      </c>
      <c r="B10" s="33">
        <f>ULSummary!B10-ULBoard!B10+LSU!B10+LSUA!B10+LSUS!B10+SUBR!B10+SUNO!B10</f>
        <v>31477793.07</v>
      </c>
      <c r="C10" s="33">
        <f>ULSummary!C10-ULBoard!C10+LSU!C10+LSUA!C10+LSUS!C10+SUBR!C10+SUNO!C10</f>
        <v>35547111</v>
      </c>
      <c r="D10" s="33">
        <f>ULSummary!D10-ULBoard!D10+LSU!D10+LSUA!D10+LSUS!D10+SUBR!D10+SUNO!D10</f>
        <v>34392304</v>
      </c>
      <c r="E10" s="33">
        <f t="shared" si="0"/>
        <v>-1154807</v>
      </c>
      <c r="F10" s="34">
        <f t="shared" si="1"/>
        <v>-0.032486662558878554</v>
      </c>
    </row>
    <row r="11" spans="1:6" s="24" customFormat="1" ht="26.25">
      <c r="A11" s="37" t="s">
        <v>15</v>
      </c>
      <c r="B11" s="33">
        <f>ULSummary!B11-ULBoard!B11+LSU!B11+LSUA!B11+LSUS!B11+SUBR!B11+SUNO!B11</f>
        <v>0</v>
      </c>
      <c r="C11" s="33">
        <f>ULSummary!C11-ULBoard!C11+LSU!C11+LSUA!C11+LSUS!C11+SUBR!C11+SUNO!C11</f>
        <v>0</v>
      </c>
      <c r="D11" s="33">
        <f>ULSummary!D11-ULBoard!D11+LSU!D11+LSUA!D11+LSUS!D11+SUBR!D11+SUNO!D11</f>
        <v>0</v>
      </c>
      <c r="E11" s="33">
        <f t="shared" si="0"/>
        <v>0</v>
      </c>
      <c r="F11" s="34">
        <f t="shared" si="1"/>
        <v>0</v>
      </c>
    </row>
    <row r="12" spans="1:6" s="24" customFormat="1" ht="26.25">
      <c r="A12" s="39" t="s">
        <v>16</v>
      </c>
      <c r="B12" s="33">
        <f>ULSummary!B12-ULBoard!B12+LSU!B12+LSUA!B12+LSUS!B12+SUBR!B12+SUNO!B12</f>
        <v>25512600.32</v>
      </c>
      <c r="C12" s="33">
        <f>ULSummary!C12-ULBoard!C12+LSU!C12+LSUA!C12+LSUS!C12+SUBR!C12+SUNO!C12</f>
        <v>29433998</v>
      </c>
      <c r="D12" s="33">
        <f>ULSummary!D12-ULBoard!D12+LSU!D12+LSUA!D12+LSUS!D12+SUBR!D12+SUNO!D12</f>
        <v>28546404</v>
      </c>
      <c r="E12" s="33">
        <f t="shared" si="0"/>
        <v>-887594</v>
      </c>
      <c r="F12" s="34">
        <f t="shared" si="1"/>
        <v>-0.03015540056773803</v>
      </c>
    </row>
    <row r="13" spans="1:6" s="24" customFormat="1" ht="26.25">
      <c r="A13" s="39" t="s">
        <v>17</v>
      </c>
      <c r="B13" s="33">
        <f>ULSummary!B13-ULBoard!B13+LSU!B13+LSUA!B13+LSUS!B13+SUBR!B13+SUNO!B13</f>
        <v>0</v>
      </c>
      <c r="C13" s="33">
        <f>ULSummary!C13-ULBoard!C13+LSU!C13+LSUA!C13+LSUS!C13+SUBR!C13+SUNO!C13</f>
        <v>0</v>
      </c>
      <c r="D13" s="33">
        <f>ULSummary!D13-ULBoard!D13+LSU!D13+LSUA!D13+LSUS!D13+SUBR!D13+SUNO!D13</f>
        <v>0</v>
      </c>
      <c r="E13" s="33">
        <f t="shared" si="0"/>
        <v>0</v>
      </c>
      <c r="F13" s="34">
        <f t="shared" si="1"/>
        <v>0</v>
      </c>
    </row>
    <row r="14" spans="1:6" s="24" customFormat="1" ht="26.25">
      <c r="A14" s="39" t="s">
        <v>18</v>
      </c>
      <c r="B14" s="33">
        <f>ULSummary!B14-ULBoard!B14+LSU!B14+LSUA!B14+LSUS!B14+SUBR!B14+SUNO!B14</f>
        <v>397235</v>
      </c>
      <c r="C14" s="33">
        <f>ULSummary!C14-ULBoard!C14+LSU!C14+LSUA!C14+LSUS!C14+SUBR!C14+SUNO!C14</f>
        <v>397235</v>
      </c>
      <c r="D14" s="33">
        <f>ULSummary!D14-ULBoard!D14+LSU!D14+LSUA!D14+LSUS!D14+SUBR!D14+SUNO!D14</f>
        <v>392432</v>
      </c>
      <c r="E14" s="33">
        <f t="shared" si="0"/>
        <v>-4803</v>
      </c>
      <c r="F14" s="34">
        <f t="shared" si="1"/>
        <v>-0.012091079587649628</v>
      </c>
    </row>
    <row r="15" spans="1:6" s="24" customFormat="1" ht="26.25">
      <c r="A15" s="39" t="s">
        <v>19</v>
      </c>
      <c r="B15" s="33">
        <f>ULSummary!B15-ULBoard!B15+LSU!B15+LSUA!B15+LSUS!B15+SUBR!B15+SUNO!B15</f>
        <v>1305878</v>
      </c>
      <c r="C15" s="33">
        <f>ULSummary!C15-ULBoard!C15+LSU!C15+LSUA!C15+LSUS!C15+SUBR!C15+SUNO!C15</f>
        <v>1305878</v>
      </c>
      <c r="D15" s="33">
        <f>ULSummary!D15-ULBoard!D15+LSU!D15+LSUA!D15+LSUS!D15+SUBR!D15+SUNO!D15</f>
        <v>1073116</v>
      </c>
      <c r="E15" s="33">
        <f t="shared" si="0"/>
        <v>-232762</v>
      </c>
      <c r="F15" s="34">
        <f t="shared" si="1"/>
        <v>-0.17824176531038888</v>
      </c>
    </row>
    <row r="16" spans="1:6" s="24" customFormat="1" ht="26.25">
      <c r="A16" s="39" t="s">
        <v>20</v>
      </c>
      <c r="B16" s="33">
        <f>ULSummary!B16-ULBoard!B16+LSU!B16+LSUA!B16+LSUS!B16+SUBR!B16+SUNO!B16</f>
        <v>50000</v>
      </c>
      <c r="C16" s="33">
        <f>ULSummary!C16-ULBoard!C16+LSU!C16+LSUA!C16+LSUS!C16+SUBR!C16+SUNO!C16</f>
        <v>50000</v>
      </c>
      <c r="D16" s="33">
        <f>ULSummary!D16-ULBoard!D16+LSU!D16+LSUA!D16+LSUS!D16+SUBR!D16+SUNO!D16</f>
        <v>50000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ULSummary!B17-ULBoard!B17+LSU!B17+LSUA!B17+LSUS!B17+SUBR!B17+SUNO!B17</f>
        <v>0</v>
      </c>
      <c r="C17" s="33">
        <f>ULSummary!C17-ULBoard!C17+LSU!C17+LSUA!C17+LSUS!C17+SUBR!C17+SUNO!C17</f>
        <v>0</v>
      </c>
      <c r="D17" s="33">
        <f>ULSummary!D17-ULBoard!D17+LSU!D17+LSUA!D17+LSUS!D17+SUBR!D17+SUNO!D17</f>
        <v>0</v>
      </c>
      <c r="E17" s="33">
        <f t="shared" si="0"/>
        <v>0</v>
      </c>
      <c r="F17" s="34">
        <f t="shared" si="1"/>
        <v>0</v>
      </c>
    </row>
    <row r="18" spans="1:6" s="24" customFormat="1" ht="26.25">
      <c r="A18" s="39" t="s">
        <v>22</v>
      </c>
      <c r="B18" s="33">
        <f>ULSummary!B18-ULBoard!B18+LSU!B18+LSUA!B18+LSUS!B18+SUBR!B18+SUNO!B18</f>
        <v>750000</v>
      </c>
      <c r="C18" s="33">
        <f>ULSummary!C18-ULBoard!C18+LSU!C18+LSUA!C18+LSUS!C18+SUBR!C18+SUNO!C18</f>
        <v>750000</v>
      </c>
      <c r="D18" s="33">
        <f>ULSummary!D18-ULBoard!D18+LSU!D18+LSUA!D18+LSUS!D18+SUBR!D18+SUNO!D18</f>
        <v>750000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ULSummary!B19-ULBoard!B19+LSU!B19+LSUA!B19+LSUS!B19+SUBR!B19+SUNO!B19</f>
        <v>3252079.75</v>
      </c>
      <c r="C19" s="33">
        <f>ULSummary!C19-ULBoard!C19+LSU!C19+LSUA!C19+LSUS!C19+SUBR!C19+SUNO!C19</f>
        <v>3400000</v>
      </c>
      <c r="D19" s="33">
        <f>ULSummary!D19-ULBoard!D19+LSU!D19+LSUA!D19+LSUS!D19+SUBR!D19+SUNO!D19</f>
        <v>3370352</v>
      </c>
      <c r="E19" s="33">
        <f t="shared" si="0"/>
        <v>-29648</v>
      </c>
      <c r="F19" s="34">
        <f t="shared" si="1"/>
        <v>-0.00872</v>
      </c>
    </row>
    <row r="20" spans="1:6" s="24" customFormat="1" ht="26.25">
      <c r="A20" s="39" t="s">
        <v>24</v>
      </c>
      <c r="B20" s="33">
        <f>ULSummary!B20-ULBoard!B20+LSU!B20+LSUA!B20+LSUS!B20+SUBR!B20+SUNO!B20</f>
        <v>210000</v>
      </c>
      <c r="C20" s="33">
        <f>ULSummary!C20-ULBoard!C20+LSU!C20+LSUA!C20+LSUS!C20+SUBR!C20+SUNO!C20</f>
        <v>210000</v>
      </c>
      <c r="D20" s="33">
        <f>ULSummary!D20-ULBoard!D20+LSU!D20+LSUA!D20+LSUS!D20+SUBR!D20+SUNO!D20</f>
        <v>210000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ULSummary!B21-ULBoard!B21+LSU!B21+LSUA!B21+LSUS!B21+SUBR!B21+SUNO!B21</f>
        <v>0</v>
      </c>
      <c r="C21" s="33">
        <f>ULSummary!C21-ULBoard!C21+LSU!C21+LSUA!C21+LSUS!C21+SUBR!C21+SUNO!C21</f>
        <v>0</v>
      </c>
      <c r="D21" s="33">
        <f>ULSummary!D21-ULBoard!D21+LSU!D21+LSUA!D21+LSUS!D21+SUBR!D21+SUNO!D21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ULSummary!B22-ULBoard!B22+LSU!B22+LSUA!B22+LSUS!B22+SUBR!B22+SUNO!B22</f>
        <v>0</v>
      </c>
      <c r="C22" s="33">
        <f>ULSummary!C22-ULBoard!C22+LSU!C22+LSUA!C22+LSUS!C22+SUBR!C22+SUNO!C22</f>
        <v>0</v>
      </c>
      <c r="D22" s="33">
        <f>ULSummary!D22-ULBoard!D22+LSU!D22+LSUA!D22+LSUS!D22+SUBR!D22+SUNO!D22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ULSummary!B23-ULBoard!B23+LSU!B23+LSUA!B23+LSUS!B23+SUBR!B23+SUNO!B23</f>
        <v>0</v>
      </c>
      <c r="C23" s="33">
        <f>ULSummary!C23-ULBoard!C23+LSU!C23+LSUA!C23+LSUS!C23+SUBR!C23+SUNO!C23</f>
        <v>0</v>
      </c>
      <c r="D23" s="33">
        <f>ULSummary!D23-ULBoard!D23+LSU!D23+LSUA!D23+LSUS!D23+SUBR!D23+SUNO!D23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ULSummary!B24-ULBoard!B24+LSU!B24+LSUA!B24+LSUS!B24+SUBR!B24+SUNO!B24</f>
        <v>0</v>
      </c>
      <c r="C24" s="33">
        <f>ULSummary!C24-ULBoard!C24+LSU!C24+LSUA!C24+LSUS!C24+SUBR!C24+SUNO!C24</f>
        <v>0</v>
      </c>
      <c r="D24" s="33">
        <f>ULSummary!D24-ULBoard!D24+LSU!D24+LSUA!D24+LSUS!D24+SUBR!D24+SUNO!D24</f>
        <v>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ULSummary!B25-ULBoard!B25+LSU!B25+LSUA!B25+LSUS!B25+SUBR!B25+SUNO!B25</f>
        <v>0</v>
      </c>
      <c r="C25" s="33">
        <f>ULSummary!C25-ULBoard!C25+LSU!C25+LSUA!C25+LSUS!C25+SUBR!C25+SUNO!C25</f>
        <v>0</v>
      </c>
      <c r="D25" s="33">
        <f>ULSummary!D25-ULBoard!D25+LSU!D25+LSUA!D25+LSUS!D25+SUBR!D25+SUNO!D25</f>
        <v>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ULSummary!B26-ULBoard!B26+LSU!B26+LSUA!B26+LSUS!B26+SUBR!B26+SUNO!B26</f>
        <v>0</v>
      </c>
      <c r="C26" s="33">
        <f>ULSummary!C26-ULBoard!C26+LSU!C26+LSUA!C26+LSUS!C26+SUBR!C26+SUNO!C26</f>
        <v>0</v>
      </c>
      <c r="D26" s="33">
        <f>ULSummary!D26-ULBoard!D26+LSU!D26+LSUA!D26+LSUS!D26+SUBR!D26+SUNO!D26</f>
        <v>0</v>
      </c>
      <c r="E26" s="33">
        <f t="shared" si="0"/>
        <v>0</v>
      </c>
      <c r="F26" s="34">
        <f t="shared" si="1"/>
        <v>0</v>
      </c>
    </row>
    <row r="27" spans="1:6" s="24" customFormat="1" ht="26.25">
      <c r="A27" s="40" t="s">
        <v>31</v>
      </c>
      <c r="B27" s="33">
        <f>ULSummary!B27-ULBoard!B27+LSU!B27+LSUA!B27+LSUS!B27+SUBR!B27+SUNO!B27</f>
        <v>0</v>
      </c>
      <c r="C27" s="33">
        <f>ULSummary!C27-ULBoard!C27+LSU!C27+LSUA!C27+LSUS!C27+SUBR!C27+SUNO!C27</f>
        <v>0</v>
      </c>
      <c r="D27" s="33">
        <f>ULSummary!D27-ULBoard!D27+LSU!D27+LSUA!D27+LSUS!D27+SUBR!D27+SUNO!D27</f>
        <v>0</v>
      </c>
      <c r="E27" s="33">
        <f t="shared" si="0"/>
        <v>0</v>
      </c>
      <c r="F27" s="34">
        <f t="shared" si="1"/>
        <v>0</v>
      </c>
    </row>
    <row r="28" spans="1:6" s="24" customFormat="1" ht="26.25">
      <c r="A28" s="40" t="s">
        <v>87</v>
      </c>
      <c r="B28" s="33">
        <f>ULSummary!B28-ULBoard!B28+LSU!B28+LSUA!B28+LSUS!B28+SUBR!B28+SUNO!B28</f>
        <v>0</v>
      </c>
      <c r="C28" s="33">
        <f>ULSummary!C28-ULBoard!C28+LSU!C28+LSUA!C28+LSUS!C28+SUBR!C28+SUNO!C28</f>
        <v>0</v>
      </c>
      <c r="D28" s="33">
        <f>ULSummary!D28-ULBoard!D28+LSU!D28+LSUA!D28+LSUS!D28+SUBR!D28+SUNO!D28</f>
        <v>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ULSummary!B29-ULBoard!B29+LSU!B29+LSUA!B29+LSUS!B29+SUBR!B29+SUNO!B29</f>
        <v>0</v>
      </c>
      <c r="C29" s="33">
        <f>ULSummary!C29-ULBoard!C29+LSU!C29+LSUA!C29+LSUS!C29+SUBR!C29+SUNO!C29</f>
        <v>0</v>
      </c>
      <c r="D29" s="33">
        <f>ULSummary!D29-ULBoard!D29+LSU!D29+LSUA!D29+LSUS!D29+SUBR!D29+SUNO!D29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ULSummary!B31-ULBoard!B31+LSU!B31+LSUA!B31+LSUS!B31+SUBR!B31+SUNO!B31</f>
        <v>0</v>
      </c>
      <c r="C31" s="33">
        <f>ULSummary!C31-ULBoard!C31+LSU!C31+LSUA!C31+LSUS!C31+SUBR!C31+SUNO!C31</f>
        <v>0</v>
      </c>
      <c r="D31" s="33">
        <f>ULSummary!D31-ULBoard!D31+LSU!D31+LSUA!D31+LSUS!D31+SUBR!D31+SUNO!D31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ULSummary!B33-ULBoard!B33+LSU!B33+LSUA!B33+LSUS!B33+SUBR!B33+SUNO!B33</f>
        <v>0</v>
      </c>
      <c r="C33" s="33">
        <f>ULSummary!C33-ULBoard!C33+LSU!C33+LSUA!C33+LSUS!C33+SUBR!C33+SUNO!C33</f>
        <v>0</v>
      </c>
      <c r="D33" s="33">
        <f>ULSummary!D33-ULBoard!D33+LSU!D33+LSUA!D33+LSUS!D33+SUBR!D33+SUNO!D33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24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6" s="46" customFormat="1" ht="26.25">
      <c r="A35" s="43" t="s">
        <v>38</v>
      </c>
      <c r="B35" s="67">
        <f>B33+B31+B10+B9+B8</f>
        <v>391221979.45</v>
      </c>
      <c r="C35" s="67">
        <f>C33+C31+C10+C9+C8</f>
        <v>395291297</v>
      </c>
      <c r="D35" s="67">
        <f>D33+D31+D10+D9+D8</f>
        <v>401078603</v>
      </c>
      <c r="E35" s="52">
        <f>D35-C35</f>
        <v>5787306</v>
      </c>
      <c r="F35" s="45">
        <f>IF(ISBLANK(E35),"  ",IF(C35&gt;0,E35/C35,IF(E35&gt;0,1,0)))</f>
        <v>0.014640610719036396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ULSummary!B37-ULBoard!B37+LSU!B37+LSUA!B37+LSUS!B37+SUBR!B37+SUNO!B37</f>
        <v>0</v>
      </c>
      <c r="C37" s="33">
        <f>ULSummary!C37-ULBoard!C37+LSU!C37+LSUA!C37+LSUS!C37+SUBR!C37+SUNO!C37</f>
        <v>0</v>
      </c>
      <c r="D37" s="33">
        <f>ULSummary!D37-ULBoard!D37+LSU!D37+LSUA!D37+LSUS!D37+SUBR!D37+SUNO!D37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ULSummary!B38-ULBoard!B38+LSU!B38+LSUA!B38+LSUS!B38+SUBR!B38+SUNO!B38</f>
        <v>0</v>
      </c>
      <c r="C38" s="33">
        <f>ULSummary!C38-ULBoard!C38+LSU!C38+LSUA!C38+LSUS!C38+SUBR!C38+SUNO!C38</f>
        <v>0</v>
      </c>
      <c r="D38" s="33">
        <f>ULSummary!D38-ULBoard!D38+LSU!D38+LSUA!D38+LSUS!D38+SUBR!D38+SUNO!D38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ULSummary!B39-ULBoard!B39+LSU!B39+LSUA!B39+LSUS!B39+SUBR!B39+SUNO!B39</f>
        <v>0</v>
      </c>
      <c r="C39" s="33">
        <f>ULSummary!C39-ULBoard!C39+LSU!C39+LSUA!C39+LSUS!C39+SUBR!C39+SUNO!C39</f>
        <v>0</v>
      </c>
      <c r="D39" s="33">
        <f>ULSummary!D39-ULBoard!D39+LSU!D39+LSUA!D39+LSUS!D39+SUBR!D39+SUNO!D39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ULSummary!B40-ULBoard!B40+LSU!B40+LSUA!B40+LSUS!B40+SUBR!B40+SUNO!B40</f>
        <v>0</v>
      </c>
      <c r="C40" s="33">
        <f>ULSummary!C40-ULBoard!C40+LSU!C40+LSUA!C40+LSUS!C40+SUBR!C40+SUNO!C40</f>
        <v>0</v>
      </c>
      <c r="D40" s="33">
        <f>ULSummary!D40-ULBoard!D40+LSU!D40+LSUA!D40+LSUS!D40+SUBR!D40+SUNO!D40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ULSummary!B41-ULBoard!B41+LSU!B41+LSUA!B41+LSUS!B41+SUBR!B41+SUNO!B41</f>
        <v>0</v>
      </c>
      <c r="C41" s="33">
        <f>ULSummary!C41-ULBoard!C41+LSU!C41+LSUA!C41+LSUS!C41+SUBR!C41+SUNO!C41</f>
        <v>0</v>
      </c>
      <c r="D41" s="33">
        <f>ULSummary!D41-ULBoard!D41+LSU!D41+LSUA!D41+LSUS!D41+SUBR!D41+SUNO!D41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ULSummary!B42-ULBoard!B42+LSU!B42+LSUA!B42+LSUS!B42+SUBR!B42+SUNO!B42</f>
        <v>0</v>
      </c>
      <c r="C42" s="52">
        <f>ULSummary!C42-ULBoard!C42+LSU!C42+LSUA!C42+LSUS!C42+SUBR!C42+SUNO!C42</f>
        <v>0</v>
      </c>
      <c r="D42" s="52">
        <f>ULSummary!D42-ULBoard!D42+LSU!D42+LSUA!D42+LSUS!D42+SUBR!D42+SUNO!D42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ULSummary!B44-ULBoard!B44+LSU!B44+LSUA!B44+LSUS!B44+SUBR!B44+SUNO!B44</f>
        <v>11435768</v>
      </c>
      <c r="C44" s="52">
        <f>ULSummary!C44-ULBoard!C44+LSU!C44+LSUA!C44+LSUS!C44+SUBR!C44+SUNO!C44</f>
        <v>11425750</v>
      </c>
      <c r="D44" s="52">
        <f>ULSummary!D44-ULBoard!D44+LSU!D44+LSUA!D44+LSUS!D44+SUBR!D44+SUNO!D44</f>
        <v>11009603</v>
      </c>
      <c r="E44" s="52">
        <f>D44-C44</f>
        <v>-416147</v>
      </c>
      <c r="F44" s="45">
        <f>IF(ISBLANK(E44),"  ",IF(C44&gt;0,E44/C44,IF(E44&gt;0,1,0)))</f>
        <v>-0.03642185414524211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ULSummary!B46-ULBoard!B46+LSU!B46+LSUA!B46+LSUS!B46+SUBR!B46+SUNO!B46</f>
        <v>0</v>
      </c>
      <c r="C46" s="52">
        <f>ULSummary!C46-ULBoard!C46+LSU!C46+LSUA!C46+LSUS!C46+SUBR!C46+SUNO!C46</f>
        <v>0</v>
      </c>
      <c r="D46" s="52">
        <f>ULSummary!D46-ULBoard!D46+LSU!D46+LSUA!D46+LSUS!D46+SUBR!D46+SUNO!D46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ULSummary!B48-ULBoard!B48+LSU!B48+LSUA!B48+LSUS!B48+SUBR!B48+SUNO!B48</f>
        <v>1106500426.95</v>
      </c>
      <c r="C48" s="52">
        <f>ULSummary!C48-ULBoard!C48+LSU!C48+LSUA!C48+LSUS!C48+SUBR!C48+SUNO!C48</f>
        <v>1122191535</v>
      </c>
      <c r="D48" s="52">
        <f>ULSummary!D48-ULBoard!D48+LSU!D48+LSUA!D48+LSUS!D48+SUBR!D48+SUNO!D48</f>
        <v>1160219098.53</v>
      </c>
      <c r="E48" s="52">
        <f>D48-C48</f>
        <v>38027563.52999997</v>
      </c>
      <c r="F48" s="45">
        <f>IF(ISBLANK(E48),"  ",IF(C48&gt;0,E48/C48,IF(E48&gt;0,1,0)))</f>
        <v>0.03388687433825632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ULSummary!B50-ULBoard!B50+LSU!B50+LSUA!B50+LSUS!B50+SUBR!B50+SUNO!B50</f>
        <v>0</v>
      </c>
      <c r="C50" s="52">
        <f>ULSummary!C50-ULBoard!C50+LSU!C50+LSUA!C50+LSUS!C50+SUBR!C50+SUNO!C50</f>
        <v>0</v>
      </c>
      <c r="D50" s="52">
        <f>ULSummary!D50-ULBoard!D50+LSU!D50+LSUA!D50+LSUS!D50+SUBR!D50+SUNO!D50</f>
        <v>0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ULSummary!B52-ULBoard!B52+LSU!B52+LSUA!B52+LSUS!B52+SUBR!B52+SUNO!B52</f>
        <v>0</v>
      </c>
      <c r="C52" s="52">
        <f>ULSummary!C52-ULBoard!C52+LSU!C52+LSUA!C52+LSUS!C52+SUBR!C52+SUNO!C52</f>
        <v>0</v>
      </c>
      <c r="D52" s="52">
        <f>ULSummary!D52-ULBoard!D52+LSU!D52+LSUA!D52+LSUS!D52+SUBR!D52+SUNO!D52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ULSummary!B54-ULBoard!B54+LSU!B54+LSUA!B54+LSUS!B54+SUBR!B54+SUNO!B54</f>
        <v>1509158174.4</v>
      </c>
      <c r="C54" s="52">
        <f>ULSummary!C54-ULBoard!C54+LSU!C54+LSUA!C54+LSUS!C54+SUBR!C54+SUNO!C54</f>
        <v>1528908582</v>
      </c>
      <c r="D54" s="52">
        <f>ULSummary!D54-ULBoard!D54+LSU!D54+LSUA!D54+LSUS!D54+SUBR!D54+SUNO!D54</f>
        <v>1572307304.53</v>
      </c>
      <c r="E54" s="52">
        <f>D54-C54</f>
        <v>43398722.52999997</v>
      </c>
      <c r="F54" s="45">
        <f>IF(ISBLANK(E54),"  ",IF(C54&gt;0,E54/C54,IF(E54&gt;0,1,0)))</f>
        <v>0.02838542672919601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ULSummary!B58-ULBoard!B58+LSU!B58+LSUA!B58+LSUS!B58+SUBR!B58+SUNO!B58</f>
        <v>610630611.4200001</v>
      </c>
      <c r="C58" s="33">
        <f>ULSummary!C58-ULBoard!C58+LSU!C58+LSUA!C58+LSUS!C58+SUBR!C58+SUNO!C58</f>
        <v>628430718</v>
      </c>
      <c r="D58" s="33">
        <f>ULSummary!D58-ULBoard!D58+LSU!D58+LSUA!D58+LSUS!D58+SUBR!D58+SUNO!D58</f>
        <v>649931312.56</v>
      </c>
      <c r="E58" s="33">
        <f aca="true" t="shared" si="4" ref="E58:E70">D58-C58</f>
        <v>21500594.559999943</v>
      </c>
      <c r="F58" s="34">
        <f aca="true" t="shared" si="5" ref="F58:F71">IF(ISBLANK(E58),"  ",IF(C58&gt;0,E58/C58,IF(E58&gt;0,1,0)))</f>
        <v>0.03421315022350633</v>
      </c>
    </row>
    <row r="59" spans="1:6" s="24" customFormat="1" ht="26.25">
      <c r="A59" s="39" t="s">
        <v>55</v>
      </c>
      <c r="B59" s="33">
        <f>ULSummary!B59-ULBoard!B59+LSU!B59+LSUA!B59+LSUS!B59+SUBR!B59+SUNO!B59</f>
        <v>91845350.55999999</v>
      </c>
      <c r="C59" s="33">
        <f>ULSummary!C59-ULBoard!C59+LSU!C59+LSUA!C59+LSUS!C59+SUBR!C59+SUNO!C59</f>
        <v>95880295</v>
      </c>
      <c r="D59" s="33">
        <f>ULSummary!D59-ULBoard!D59+LSU!D59+LSUA!D59+LSUS!D59+SUBR!D59+SUNO!D59</f>
        <v>94990225</v>
      </c>
      <c r="E59" s="33">
        <f t="shared" si="4"/>
        <v>-890070</v>
      </c>
      <c r="F59" s="34">
        <f t="shared" si="5"/>
        <v>-0.009283137896060917</v>
      </c>
    </row>
    <row r="60" spans="1:6" s="24" customFormat="1" ht="26.25">
      <c r="A60" s="39" t="s">
        <v>56</v>
      </c>
      <c r="B60" s="33">
        <f>ULSummary!B60-ULBoard!B60+LSU!B60+LSUA!B60+LSUS!B60+SUBR!B60+SUNO!B60</f>
        <v>7482769.66</v>
      </c>
      <c r="C60" s="33">
        <f>ULSummary!C60-ULBoard!C60+LSU!C60+LSUA!C60+LSUS!C60+SUBR!C60+SUNO!C60</f>
        <v>6055995</v>
      </c>
      <c r="D60" s="33">
        <f>ULSummary!D60-ULBoard!D60+LSU!D60+LSUA!D60+LSUS!D60+SUBR!D60+SUNO!D60</f>
        <v>6178391</v>
      </c>
      <c r="E60" s="33">
        <f t="shared" si="4"/>
        <v>122396</v>
      </c>
      <c r="F60" s="34">
        <f t="shared" si="5"/>
        <v>0.02021071681862353</v>
      </c>
    </row>
    <row r="61" spans="1:6" s="24" customFormat="1" ht="26.25">
      <c r="A61" s="39" t="s">
        <v>57</v>
      </c>
      <c r="B61" s="33">
        <f>ULSummary!B61-ULBoard!B61+LSU!B61+LSUA!B61+LSUS!B61+SUBR!B61+SUNO!B61</f>
        <v>155271157.3</v>
      </c>
      <c r="C61" s="33">
        <f>ULSummary!C61-ULBoard!C61+LSU!C61+LSUA!C61+LSUS!C61+SUBR!C61+SUNO!C61</f>
        <v>157462308</v>
      </c>
      <c r="D61" s="33">
        <f>ULSummary!D61-ULBoard!D61+LSU!D61+LSUA!D61+LSUS!D61+SUBR!D61+SUNO!D61</f>
        <v>165787354.32</v>
      </c>
      <c r="E61" s="33">
        <f t="shared" si="4"/>
        <v>8325046.319999993</v>
      </c>
      <c r="F61" s="34">
        <f t="shared" si="5"/>
        <v>0.052870089520090056</v>
      </c>
    </row>
    <row r="62" spans="1:6" s="24" customFormat="1" ht="26.25">
      <c r="A62" s="39" t="s">
        <v>58</v>
      </c>
      <c r="B62" s="33">
        <f>ULSummary!B62-ULBoard!B62+LSU!B62+LSUA!B62+LSUS!B62+SUBR!B62+SUNO!B62</f>
        <v>67241641.39999999</v>
      </c>
      <c r="C62" s="33">
        <f>ULSummary!C62-ULBoard!C62+LSU!C62+LSUA!C62+LSUS!C62+SUBR!C62+SUNO!C62</f>
        <v>69244524.5</v>
      </c>
      <c r="D62" s="33">
        <f>ULSummary!D62-ULBoard!D62+LSU!D62+LSUA!D62+LSUS!D62+SUBR!D62+SUNO!D62</f>
        <v>71118970.34</v>
      </c>
      <c r="E62" s="33">
        <f t="shared" si="4"/>
        <v>1874445.8400000036</v>
      </c>
      <c r="F62" s="34">
        <f t="shared" si="5"/>
        <v>0.02706995034675996</v>
      </c>
    </row>
    <row r="63" spans="1:6" s="24" customFormat="1" ht="26.25">
      <c r="A63" s="39" t="s">
        <v>59</v>
      </c>
      <c r="B63" s="33">
        <f>ULSummary!B63-ULBoard!B63+LSU!B63+LSUA!B63+LSUS!B63+SUBR!B63+SUNO!B63</f>
        <v>174022672.49</v>
      </c>
      <c r="C63" s="33">
        <f>ULSummary!C63-ULBoard!C63+LSU!C63+LSUA!C63+LSUS!C63+SUBR!C63+SUNO!C63</f>
        <v>168132929.32</v>
      </c>
      <c r="D63" s="33">
        <f>ULSummary!D63-ULBoard!D63+LSU!D63+LSUA!D63+LSUS!D63+SUBR!D63+SUNO!D63</f>
        <v>180041369.41</v>
      </c>
      <c r="E63" s="33">
        <f t="shared" si="4"/>
        <v>11908440.090000004</v>
      </c>
      <c r="F63" s="34">
        <f t="shared" si="5"/>
        <v>0.07082752996788151</v>
      </c>
    </row>
    <row r="64" spans="1:6" s="24" customFormat="1" ht="26.25">
      <c r="A64" s="39" t="s">
        <v>60</v>
      </c>
      <c r="B64" s="33">
        <f>ULSummary!B64-ULBoard!B64+LSU!B64+LSUA!B64+LSUS!B64+SUBR!B64+SUNO!B64</f>
        <v>207844514.86</v>
      </c>
      <c r="C64" s="33">
        <f>ULSummary!C64-ULBoard!C64+LSU!C64+LSUA!C64+LSUS!C64+SUBR!C64+SUNO!C64</f>
        <v>209590872</v>
      </c>
      <c r="D64" s="33">
        <f>ULSummary!D64-ULBoard!D64+LSU!D64+LSUA!D64+LSUS!D64+SUBR!D64+SUNO!D64</f>
        <v>211490685</v>
      </c>
      <c r="E64" s="33">
        <f t="shared" si="4"/>
        <v>1899813</v>
      </c>
      <c r="F64" s="34">
        <f t="shared" si="5"/>
        <v>0.009064388071251499</v>
      </c>
    </row>
    <row r="65" spans="1:6" s="24" customFormat="1" ht="26.25">
      <c r="A65" s="39" t="s">
        <v>61</v>
      </c>
      <c r="B65" s="33">
        <f>ULSummary!B65-ULBoard!B65+LSU!B65+LSUA!B65+LSUS!B65+SUBR!B65+SUNO!B65</f>
        <v>158824710.36</v>
      </c>
      <c r="C65" s="33">
        <f>ULSummary!C65-ULBoard!C65+LSU!C65+LSUA!C65+LSUS!C65+SUBR!C65+SUNO!C65</f>
        <v>161927447</v>
      </c>
      <c r="D65" s="33">
        <f>ULSummary!D65-ULBoard!D65+LSU!D65+LSUA!D65+LSUS!D65+SUBR!D65+SUNO!D65</f>
        <v>161743600</v>
      </c>
      <c r="E65" s="33">
        <f t="shared" si="4"/>
        <v>-183847</v>
      </c>
      <c r="F65" s="34">
        <f t="shared" si="5"/>
        <v>-0.0011353665076927941</v>
      </c>
    </row>
    <row r="66" spans="1:6" s="46" customFormat="1" ht="26.25">
      <c r="A66" s="59" t="s">
        <v>62</v>
      </c>
      <c r="B66" s="52">
        <f>ULSummary!B66-ULBoard!B66+LSU!B66+LSUA!B66+LSUS!B66+SUBR!B66+SUNO!B66</f>
        <v>1473163428.0500002</v>
      </c>
      <c r="C66" s="52">
        <f>ULSummary!C66-ULBoard!C66+LSU!C66+LSUA!C66+LSUS!C66+SUBR!C66+SUNO!C66</f>
        <v>1496725088.82</v>
      </c>
      <c r="D66" s="52">
        <f>ULSummary!D66-ULBoard!D66+LSU!D66+LSUA!D66+LSUS!D66+SUBR!D66+SUNO!D66</f>
        <v>1541281907.63</v>
      </c>
      <c r="E66" s="52">
        <f t="shared" si="4"/>
        <v>44556818.81000018</v>
      </c>
      <c r="F66" s="45">
        <f t="shared" si="5"/>
        <v>0.02976954094163561</v>
      </c>
    </row>
    <row r="67" spans="1:6" s="24" customFormat="1" ht="26.25">
      <c r="A67" s="39" t="s">
        <v>63</v>
      </c>
      <c r="B67" s="33">
        <f>ULSummary!B67-ULBoard!B67+LSU!B67+LSUA!B67+LSUS!B67+SUBR!B67+SUNO!B67</f>
        <v>0</v>
      </c>
      <c r="C67" s="33">
        <f>ULSummary!C67-ULBoard!C67+LSU!C67+LSUA!C67+LSUS!C67+SUBR!C67+SUNO!C67</f>
        <v>0</v>
      </c>
      <c r="D67" s="33">
        <f>ULSummary!D67-ULBoard!D67+LSU!D67+LSUA!D67+LSUS!D67+SUBR!D67+SUNO!D67</f>
        <v>0</v>
      </c>
      <c r="E67" s="33">
        <f t="shared" si="4"/>
        <v>0</v>
      </c>
      <c r="F67" s="34">
        <f t="shared" si="5"/>
        <v>0</v>
      </c>
    </row>
    <row r="68" spans="1:6" s="24" customFormat="1" ht="26.25">
      <c r="A68" s="39" t="s">
        <v>64</v>
      </c>
      <c r="B68" s="33">
        <f>ULSummary!B68-ULBoard!B68+LSU!B68+LSUA!B68+LSUS!B68+SUBR!B68+SUNO!B68</f>
        <v>5520200.77</v>
      </c>
      <c r="C68" s="33">
        <f>ULSummary!C68-ULBoard!C68+LSU!C68+LSUA!C68+LSUS!C68+SUBR!C68+SUNO!C68</f>
        <v>4570144</v>
      </c>
      <c r="D68" s="33">
        <f>ULSummary!D68-ULBoard!D68+LSU!D68+LSUA!D68+LSUS!D68+SUBR!D68+SUNO!D68</f>
        <v>4467274</v>
      </c>
      <c r="E68" s="33">
        <f t="shared" si="4"/>
        <v>-102870</v>
      </c>
      <c r="F68" s="34">
        <f t="shared" si="5"/>
        <v>-0.02250913756765651</v>
      </c>
    </row>
    <row r="69" spans="1:6" s="24" customFormat="1" ht="26.25">
      <c r="A69" s="39" t="s">
        <v>65</v>
      </c>
      <c r="B69" s="33">
        <f>ULSummary!B69-ULBoard!B69+LSU!B69+LSUA!B69+LSUS!B69+SUBR!B69+SUNO!B69</f>
        <v>28022870.52</v>
      </c>
      <c r="C69" s="33">
        <f>ULSummary!C69-ULBoard!C69+LSU!C69+LSUA!C69+LSUS!C69+SUBR!C69+SUNO!C69</f>
        <v>25274236</v>
      </c>
      <c r="D69" s="33">
        <f>ULSummary!D69-ULBoard!D69+LSU!D69+LSUA!D69+LSUS!D69+SUBR!D69+SUNO!D69</f>
        <v>24464696</v>
      </c>
      <c r="E69" s="33">
        <f t="shared" si="4"/>
        <v>-809540</v>
      </c>
      <c r="F69" s="34">
        <f t="shared" si="5"/>
        <v>-0.03203024613681695</v>
      </c>
    </row>
    <row r="70" spans="1:6" s="24" customFormat="1" ht="26.25">
      <c r="A70" s="39" t="s">
        <v>66</v>
      </c>
      <c r="B70" s="33">
        <f>ULSummary!B70-ULBoard!B70+LSU!B70+LSUA!B70+LSUS!B70+SUBR!B70+SUNO!B70</f>
        <v>2451678.36</v>
      </c>
      <c r="C70" s="33">
        <f>ULSummary!C70-ULBoard!C70+LSU!C70+LSUA!C70+LSUS!C70+SUBR!C70+SUNO!C70</f>
        <v>2339113</v>
      </c>
      <c r="D70" s="33">
        <f>ULSummary!D70-ULBoard!D70+LSU!D70+LSUA!D70+LSUS!D70+SUBR!D70+SUNO!D70</f>
        <v>2093428</v>
      </c>
      <c r="E70" s="33">
        <f t="shared" si="4"/>
        <v>-245685</v>
      </c>
      <c r="F70" s="34">
        <f t="shared" si="5"/>
        <v>-0.10503340368763715</v>
      </c>
    </row>
    <row r="71" spans="1:6" s="46" customFormat="1" ht="26.25">
      <c r="A71" s="60" t="s">
        <v>67</v>
      </c>
      <c r="B71" s="52">
        <f>ULSummary!B71-ULBoard!B71+LSU!B71+LSUA!B71+LSUS!B71+SUBR!B71+SUNO!B71-1</f>
        <v>1509158173.6999998</v>
      </c>
      <c r="C71" s="52">
        <f>ULSummary!C71-ULBoard!C71+LSU!C71+LSUA!C71+LSUS!C71+SUBR!C71+SUNO!C71</f>
        <v>1528908581.82</v>
      </c>
      <c r="D71" s="52">
        <f>ULSummary!D71-ULBoard!D71+LSU!D71+LSUA!D71+LSUS!D71+SUBR!D71+SUNO!D71</f>
        <v>1572307304.63</v>
      </c>
      <c r="E71" s="52">
        <f>D71-C71</f>
        <v>43398722.81000018</v>
      </c>
      <c r="F71" s="45">
        <f t="shared" si="5"/>
        <v>0.028385426915675173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ULSummary!B74-ULBoard!B74+LSU!B74+LSUA!B74+LSUS!B74+SUBR!B74+SUNO!B74</f>
        <v>701716697.66</v>
      </c>
      <c r="C74" s="33">
        <f>ULSummary!C74-ULBoard!C74+LSU!C74+LSUA!C74+LSUS!C74+SUBR!C74+SUNO!C74</f>
        <v>733490539.3199999</v>
      </c>
      <c r="D74" s="33">
        <f>ULSummary!D74-ULBoard!D74+LSU!D74+LSUA!D74+LSUS!D74+SUBR!D74+SUNO!D74</f>
        <v>759856092.63</v>
      </c>
      <c r="E74" s="33">
        <f aca="true" t="shared" si="6" ref="E74:E91">D74-C74</f>
        <v>26365553.310000062</v>
      </c>
      <c r="F74" s="34">
        <f aca="true" t="shared" si="7" ref="F74:F92">IF(ISBLANK(E74),"  ",IF(C74&gt;0,E74/C74,IF(E74&gt;0,1,0)))</f>
        <v>0.035945321577621</v>
      </c>
    </row>
    <row r="75" spans="1:6" s="24" customFormat="1" ht="26.25">
      <c r="A75" s="39" t="s">
        <v>70</v>
      </c>
      <c r="B75" s="33">
        <f>ULSummary!B75-ULBoard!B75+LSU!B75+LSUA!B75+LSUS!B75+SUBR!B75+SUNO!B75</f>
        <v>45512386.53999999</v>
      </c>
      <c r="C75" s="33">
        <f>ULSummary!C75-ULBoard!C75+LSU!C75+LSUA!C75+LSUS!C75+SUBR!C75+SUNO!C75</f>
        <v>42065930</v>
      </c>
      <c r="D75" s="33">
        <f>ULSummary!D75-ULBoard!D75+LSU!D75+LSUA!D75+LSUS!D75+SUBR!D75+SUNO!D75</f>
        <v>43494232</v>
      </c>
      <c r="E75" s="33">
        <f t="shared" si="6"/>
        <v>1428302</v>
      </c>
      <c r="F75" s="34">
        <f t="shared" si="7"/>
        <v>0.03395389095165613</v>
      </c>
    </row>
    <row r="76" spans="1:6" s="24" customFormat="1" ht="26.25">
      <c r="A76" s="39" t="s">
        <v>71</v>
      </c>
      <c r="B76" s="33">
        <f>ULSummary!B76-ULBoard!B76+LSU!B76+LSUA!B76+LSUS!B76+SUBR!B76+SUNO!B76</f>
        <v>301004569.1399999</v>
      </c>
      <c r="C76" s="33">
        <f>ULSummary!C76-ULBoard!C76+LSU!C76+LSUA!C76+LSUS!C76+SUBR!C76+SUNO!C76</f>
        <v>314639218</v>
      </c>
      <c r="D76" s="33">
        <f>ULSummary!D76-ULBoard!D76+LSU!D76+LSUA!D76+LSUS!D76+SUBR!D76+SUNO!D76</f>
        <v>324281994</v>
      </c>
      <c r="E76" s="33">
        <f t="shared" si="6"/>
        <v>9642776</v>
      </c>
      <c r="F76" s="34">
        <f t="shared" si="7"/>
        <v>0.030647088628347658</v>
      </c>
    </row>
    <row r="77" spans="1:6" s="46" customFormat="1" ht="26.25">
      <c r="A77" s="59" t="s">
        <v>72</v>
      </c>
      <c r="B77" s="52">
        <f>ULSummary!B77-ULBoard!B77+LSU!B77+LSUA!B77+LSUS!B77+SUBR!B77+SUNO!B77</f>
        <v>1048233652.34</v>
      </c>
      <c r="C77" s="52">
        <f>ULSummary!C77-ULBoard!C77+LSU!C77+LSUA!C77+LSUS!C77+SUBR!C77+SUNO!C77</f>
        <v>1090195687.32</v>
      </c>
      <c r="D77" s="52">
        <f>ULSummary!D77-ULBoard!D77+LSU!D77+LSUA!D77+LSUS!D77+SUBR!D77+SUNO!D77</f>
        <v>1127632318.63</v>
      </c>
      <c r="E77" s="52">
        <f t="shared" si="6"/>
        <v>37436631.31000018</v>
      </c>
      <c r="F77" s="45">
        <f t="shared" si="7"/>
        <v>0.03433936837709356</v>
      </c>
    </row>
    <row r="78" spans="1:6" s="24" customFormat="1" ht="26.25">
      <c r="A78" s="39" t="s">
        <v>73</v>
      </c>
      <c r="B78" s="33">
        <f>ULSummary!B78-ULBoard!B78+LSU!B78+LSUA!B78+LSUS!B78+SUBR!B78+SUNO!B78</f>
        <v>7212947.01</v>
      </c>
      <c r="C78" s="33">
        <f>ULSummary!C78-ULBoard!C78+LSU!C78+LSUA!C78+LSUS!C78+SUBR!C78+SUNO!C78</f>
        <v>7500144</v>
      </c>
      <c r="D78" s="33">
        <f>ULSummary!D78-ULBoard!D78+LSU!D78+LSUA!D78+LSUS!D78+SUBR!D78+SUNO!D78</f>
        <v>7174018</v>
      </c>
      <c r="E78" s="33">
        <f t="shared" si="6"/>
        <v>-326126</v>
      </c>
      <c r="F78" s="34">
        <f t="shared" si="7"/>
        <v>-0.043482631800136104</v>
      </c>
    </row>
    <row r="79" spans="1:6" s="24" customFormat="1" ht="26.25">
      <c r="A79" s="39" t="s">
        <v>74</v>
      </c>
      <c r="B79" s="33">
        <f>ULSummary!B79-ULBoard!B79+LSU!B79+LSUA!B79+LSUS!B79+SUBR!B79+SUNO!B79</f>
        <v>106577939.67</v>
      </c>
      <c r="C79" s="33">
        <f>ULSummary!C79-ULBoard!C79+LSU!C79+LSUA!C79+LSUS!C79+SUBR!C79+SUNO!C79</f>
        <v>111436638.5</v>
      </c>
      <c r="D79" s="33">
        <f>ULSummary!D79-ULBoard!D79+LSU!D79+LSUA!D79+LSUS!D79+SUBR!D79+SUNO!D79</f>
        <v>121358400</v>
      </c>
      <c r="E79" s="33">
        <f t="shared" si="6"/>
        <v>9921761.5</v>
      </c>
      <c r="F79" s="34">
        <f t="shared" si="7"/>
        <v>0.08903500351008883</v>
      </c>
    </row>
    <row r="80" spans="1:6" s="24" customFormat="1" ht="26.25">
      <c r="A80" s="39" t="s">
        <v>75</v>
      </c>
      <c r="B80" s="33">
        <f>ULSummary!B80-ULBoard!B80+LSU!B80+LSUA!B80+LSUS!B80+SUBR!B80+SUNO!B80</f>
        <v>35314563.83</v>
      </c>
      <c r="C80" s="33">
        <f>ULSummary!C80-ULBoard!C80+LSU!C80+LSUA!C80+LSUS!C80+SUBR!C80+SUNO!C80</f>
        <v>29453492</v>
      </c>
      <c r="D80" s="33">
        <f>ULSummary!D80-ULBoard!D80+LSU!D80+LSUA!D80+LSUS!D80+SUBR!D80+SUNO!D80</f>
        <v>28144644</v>
      </c>
      <c r="E80" s="33">
        <f t="shared" si="6"/>
        <v>-1308848</v>
      </c>
      <c r="F80" s="34">
        <f t="shared" si="7"/>
        <v>-0.04443778686751303</v>
      </c>
    </row>
    <row r="81" spans="1:6" s="46" customFormat="1" ht="26.25">
      <c r="A81" s="42" t="s">
        <v>76</v>
      </c>
      <c r="B81" s="52">
        <f>ULSummary!B81-ULBoard!B81+LSU!B81+LSUA!B81+LSUS!B81+SUBR!B81+SUNO!B81</f>
        <v>149105451.51</v>
      </c>
      <c r="C81" s="52">
        <f>ULSummary!C81-ULBoard!C81+LSU!C81+LSUA!C81+LSUS!C81+SUBR!C81+SUNO!C81</f>
        <v>148390274.5</v>
      </c>
      <c r="D81" s="52">
        <f>ULSummary!D81-ULBoard!D81+LSU!D81+LSUA!D81+LSUS!D81+SUBR!D81+SUNO!D81</f>
        <v>156677062</v>
      </c>
      <c r="E81" s="52">
        <f t="shared" si="6"/>
        <v>8286787.5</v>
      </c>
      <c r="F81" s="45">
        <f t="shared" si="7"/>
        <v>0.05584454593080492</v>
      </c>
    </row>
    <row r="82" spans="1:6" s="24" customFormat="1" ht="26.25">
      <c r="A82" s="39" t="s">
        <v>77</v>
      </c>
      <c r="B82" s="33">
        <f>ULSummary!B82-ULBoard!B82+LSU!B82+LSUA!B82+LSUS!B82+SUBR!B82+SUNO!B82</f>
        <v>23065285.59</v>
      </c>
      <c r="C82" s="33">
        <f>ULSummary!C82-ULBoard!C82+LSU!C82+LSUA!C82+LSUS!C82+SUBR!C82+SUNO!C82</f>
        <v>10202595</v>
      </c>
      <c r="D82" s="33">
        <f>ULSummary!D82-ULBoard!D82+LSU!D82+LSUA!D82+LSUS!D82+SUBR!D82+SUNO!D82</f>
        <v>14684358</v>
      </c>
      <c r="E82" s="33">
        <f t="shared" si="6"/>
        <v>4481763</v>
      </c>
      <c r="F82" s="34">
        <f t="shared" si="7"/>
        <v>0.43927677223294664</v>
      </c>
    </row>
    <row r="83" spans="1:6" s="24" customFormat="1" ht="26.25">
      <c r="A83" s="39" t="s">
        <v>78</v>
      </c>
      <c r="B83" s="33">
        <f>ULSummary!B83-ULBoard!B83+LSU!B83+LSUA!B83+LSUS!B83+SUBR!B83+SUNO!B83</f>
        <v>254554824.07</v>
      </c>
      <c r="C83" s="33">
        <f>ULSummary!C83-ULBoard!C83+LSU!C83+LSUA!C83+LSUS!C83+SUBR!C83+SUNO!C83</f>
        <v>250264584</v>
      </c>
      <c r="D83" s="33">
        <f>ULSummary!D83-ULBoard!D83+LSU!D83+LSUA!D83+LSUS!D83+SUBR!D83+SUNO!D83</f>
        <v>250207189</v>
      </c>
      <c r="E83" s="33">
        <f t="shared" si="6"/>
        <v>-57395</v>
      </c>
      <c r="F83" s="34">
        <f t="shared" si="7"/>
        <v>-0.00022933728409609886</v>
      </c>
    </row>
    <row r="84" spans="1:6" s="24" customFormat="1" ht="26.25">
      <c r="A84" s="39" t="s">
        <v>79</v>
      </c>
      <c r="B84" s="33">
        <f>ULSummary!B84-ULBoard!B84+LSU!B84+LSUA!B84+LSUS!B84+SUBR!B84+SUNO!B84</f>
        <v>0</v>
      </c>
      <c r="C84" s="33">
        <f>ULSummary!C84-ULBoard!C84+LSU!C84+LSUA!C84+LSUS!C84+SUBR!C84+SUNO!C84</f>
        <v>0</v>
      </c>
      <c r="D84" s="33">
        <f>ULSummary!D84-ULBoard!D84+LSU!D84+LSUA!D84+LSUS!D84+SUBR!D84+SUNO!D84</f>
        <v>0</v>
      </c>
      <c r="E84" s="33">
        <f t="shared" si="6"/>
        <v>0</v>
      </c>
      <c r="F84" s="34">
        <f t="shared" si="7"/>
        <v>0</v>
      </c>
    </row>
    <row r="85" spans="1:6" s="24" customFormat="1" ht="26.25">
      <c r="A85" s="39" t="s">
        <v>80</v>
      </c>
      <c r="B85" s="33">
        <f>ULSummary!B85-ULBoard!B85+LSU!B85+LSUA!B85+LSUS!B85+SUBR!B85+SUNO!B85</f>
        <v>10679349.260000002</v>
      </c>
      <c r="C85" s="33">
        <f>ULSummary!C85-ULBoard!C85+LSU!C85+LSUA!C85+LSUS!C85+SUBR!C85+SUNO!C85</f>
        <v>9768309</v>
      </c>
      <c r="D85" s="33">
        <f>ULSummary!D85-ULBoard!D85+LSU!D85+LSUA!D85+LSUS!D85+SUBR!D85+SUNO!D85</f>
        <v>9472260</v>
      </c>
      <c r="E85" s="33">
        <f t="shared" si="6"/>
        <v>-296049</v>
      </c>
      <c r="F85" s="34">
        <f t="shared" si="7"/>
        <v>-0.03030708795145608</v>
      </c>
    </row>
    <row r="86" spans="1:6" s="46" customFormat="1" ht="26.25">
      <c r="A86" s="42" t="s">
        <v>81</v>
      </c>
      <c r="B86" s="52">
        <f>ULSummary!B86-ULBoard!B86+LSU!B86+LSUA!B86+LSUS!B86+SUBR!B86+SUNO!B86</f>
        <v>288299458.92</v>
      </c>
      <c r="C86" s="52">
        <f>ULSummary!C86-ULBoard!C86+LSU!C86+LSUA!C86+LSUS!C86+SUBR!C86+SUNO!C86</f>
        <v>270235488</v>
      </c>
      <c r="D86" s="52">
        <f>ULSummary!D86-ULBoard!D86+LSU!D86+LSUA!D86+LSUS!D86+SUBR!D86+SUNO!D86</f>
        <v>274363807</v>
      </c>
      <c r="E86" s="52">
        <f t="shared" si="6"/>
        <v>4128319</v>
      </c>
      <c r="F86" s="45">
        <f t="shared" si="7"/>
        <v>0.01527674633170311</v>
      </c>
    </row>
    <row r="87" spans="1:6" s="24" customFormat="1" ht="26.25">
      <c r="A87" s="39" t="s">
        <v>82</v>
      </c>
      <c r="B87" s="33">
        <f>ULSummary!B87-ULBoard!B87+LSU!B87+LSUA!B87+LSUS!B87+SUBR!B87+SUNO!B87</f>
        <v>14613241.9</v>
      </c>
      <c r="C87" s="33">
        <f>ULSummary!C87-ULBoard!C87+LSU!C87+LSUA!C87+LSUS!C87+SUBR!C87+SUNO!C87</f>
        <v>10239573</v>
      </c>
      <c r="D87" s="33">
        <f>ULSummary!D87-ULBoard!D87+LSU!D87+LSUA!D87+LSUS!D87+SUBR!D87+SUNO!D87</f>
        <v>6787705</v>
      </c>
      <c r="E87" s="33">
        <f t="shared" si="6"/>
        <v>-3451868</v>
      </c>
      <c r="F87" s="34">
        <f t="shared" si="7"/>
        <v>-0.337110541621218</v>
      </c>
    </row>
    <row r="88" spans="1:6" s="24" customFormat="1" ht="26.25">
      <c r="A88" s="39" t="s">
        <v>83</v>
      </c>
      <c r="B88" s="33">
        <f>ULSummary!B88-ULBoard!B88+LSU!B88+LSUA!B88+LSUS!B88+SUBR!B88+SUNO!B88</f>
        <v>6386590.049999999</v>
      </c>
      <c r="C88" s="33">
        <f>ULSummary!C88-ULBoard!C88+LSU!C88+LSUA!C88+LSUS!C88+SUBR!C88+SUNO!C88</f>
        <v>7360713</v>
      </c>
      <c r="D88" s="33">
        <f>ULSummary!D88-ULBoard!D88+LSU!D88+LSUA!D88+LSUS!D88+SUBR!D88+SUNO!D88</f>
        <v>6211914</v>
      </c>
      <c r="E88" s="33">
        <f t="shared" si="6"/>
        <v>-1148799</v>
      </c>
      <c r="F88" s="34">
        <f t="shared" si="7"/>
        <v>-0.15607170120611957</v>
      </c>
    </row>
    <row r="89" spans="1:6" s="24" customFormat="1" ht="26.25">
      <c r="A89" s="48" t="s">
        <v>84</v>
      </c>
      <c r="B89" s="33">
        <f>ULSummary!B89-ULBoard!B89+LSU!B89+LSUA!B89+LSUS!B89+SUBR!B89+SUNO!B89</f>
        <v>2519776.9800000004</v>
      </c>
      <c r="C89" s="33">
        <f>ULSummary!C89-ULBoard!C89+LSU!C89+LSUA!C89+LSUS!C89+SUBR!C89+SUNO!C89</f>
        <v>2486841</v>
      </c>
      <c r="D89" s="33">
        <f>ULSummary!D89-ULBoard!D89+LSU!D89+LSUA!D89+LSUS!D89+SUBR!D89+SUNO!D89</f>
        <v>634496</v>
      </c>
      <c r="E89" s="33">
        <f t="shared" si="6"/>
        <v>-1852345</v>
      </c>
      <c r="F89" s="34">
        <f t="shared" si="7"/>
        <v>-0.7448586379265904</v>
      </c>
    </row>
    <row r="90" spans="1:6" s="46" customFormat="1" ht="26.25">
      <c r="A90" s="62" t="s">
        <v>85</v>
      </c>
      <c r="B90" s="52">
        <f>ULSummary!B90-ULBoard!B90+LSU!B90+LSUA!B90+LSUS!B90+SUBR!B90+SUNO!B90</f>
        <v>23519608.929999996</v>
      </c>
      <c r="C90" s="52">
        <f>ULSummary!C90-ULBoard!C90+LSU!C90+LSUA!C90+LSUS!C90+SUBR!C90+SUNO!C90</f>
        <v>20087127</v>
      </c>
      <c r="D90" s="52">
        <f>ULSummary!D90-ULBoard!D90+LSU!D90+LSUA!D90+LSUS!D90+SUBR!D90+SUNO!D90</f>
        <v>13634115</v>
      </c>
      <c r="E90" s="52">
        <f t="shared" si="6"/>
        <v>-6453012</v>
      </c>
      <c r="F90" s="45">
        <f t="shared" si="7"/>
        <v>-0.3212511176934362</v>
      </c>
    </row>
    <row r="91" spans="1:6" s="24" customFormat="1" ht="26.25">
      <c r="A91" s="48" t="s">
        <v>86</v>
      </c>
      <c r="B91" s="33">
        <f>ULSummary!B91-ULBoard!B91+LSU!B91+LSUA!B91+LSUS!B91+SUBR!B91+SUNO!B91</f>
        <v>0</v>
      </c>
      <c r="C91" s="33">
        <f>ULSummary!C91-ULBoard!C91+LSU!C91+LSUA!C91+LSUS!C91+SUBR!C91+SUNO!C91</f>
        <v>0</v>
      </c>
      <c r="D91" s="33">
        <f>ULSummary!D91-ULBoard!D91+LSU!D91+LSUA!D91+LSUS!D91+SUBR!D91+SUNO!D91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85">
        <f>ULSummary!B92-ULBoard!B92+LSU!B92+LSUA!B92+LSUS!B92+SUBR!B92+SUNO!B92-1</f>
        <v>1509158173.6999998</v>
      </c>
      <c r="C92" s="85">
        <f>ULSummary!C92-ULBoard!C92+LSU!C92+LSUA!C92+LSUS!C92+SUBR!C92+SUNO!C92</f>
        <v>1528908581.82</v>
      </c>
      <c r="D92" s="85">
        <f>ULSummary!D92-ULBoard!D92+LSU!D92+LSUA!D92+LSUS!D92+SUBR!D92+SUNO!D92</f>
        <v>1572307304.63</v>
      </c>
      <c r="E92" s="68">
        <f>D92-C92</f>
        <v>43398722.81000018</v>
      </c>
      <c r="F92" s="69">
        <f t="shared" si="7"/>
        <v>0.028385426915675173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Width="0" fitToHeight="1" horizontalDpi="600" verticalDpi="600" orientation="portrait" scale="2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" t="s">
        <v>126</v>
      </c>
      <c r="E1" s="96"/>
      <c r="F1" s="9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15896101</v>
      </c>
      <c r="C8" s="33">
        <v>15896101</v>
      </c>
      <c r="D8" s="33">
        <v>16182659</v>
      </c>
      <c r="E8" s="33">
        <f aca="true" t="shared" si="0" ref="E8:E29">D8-C8</f>
        <v>286558</v>
      </c>
      <c r="F8" s="34">
        <f aca="true" t="shared" si="1" ref="F8:F29">IF(ISBLANK(E8),"  ",IF(C8&gt;0,E8/C8,IF(E8&gt;0,1,0)))</f>
        <v>0.018026936290855222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86293</v>
      </c>
      <c r="C10" s="36">
        <v>99559</v>
      </c>
      <c r="D10" s="36">
        <v>96556</v>
      </c>
      <c r="E10" s="36">
        <f t="shared" si="0"/>
        <v>-3003</v>
      </c>
      <c r="F10" s="34">
        <f t="shared" si="1"/>
        <v>-0.03016301891340813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86293</v>
      </c>
      <c r="C12" s="38">
        <v>99559</v>
      </c>
      <c r="D12" s="38">
        <v>96556</v>
      </c>
      <c r="E12" s="36">
        <f t="shared" si="0"/>
        <v>-3003</v>
      </c>
      <c r="F12" s="34">
        <f t="shared" si="1"/>
        <v>-0.03016301891340813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15982394</v>
      </c>
      <c r="C35" s="44">
        <v>15995660</v>
      </c>
      <c r="D35" s="44">
        <v>16279215</v>
      </c>
      <c r="E35" s="44">
        <f>D35-C35</f>
        <v>283555</v>
      </c>
      <c r="F35" s="45">
        <f>IF(ISBLANK(E35),"  ",IF(C35&gt;0,E35/C35,IF(E35&gt;0,1,0)))</f>
        <v>0.0177269959476508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845561</v>
      </c>
      <c r="C48" s="50">
        <v>845561</v>
      </c>
      <c r="D48" s="50">
        <v>845561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16827955</v>
      </c>
      <c r="C54" s="50">
        <v>16841221</v>
      </c>
      <c r="D54" s="50">
        <v>17124776</v>
      </c>
      <c r="E54" s="50">
        <f>D54-C54</f>
        <v>283555</v>
      </c>
      <c r="F54" s="45">
        <f>IF(ISBLANK(E54),"  ",IF(C54&gt;0,E54/C54,IF(E54&gt;0,1,0)))</f>
        <v>0.016836962118126707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2839837</v>
      </c>
      <c r="C59" s="38">
        <v>2688456</v>
      </c>
      <c r="D59" s="38">
        <v>3332547</v>
      </c>
      <c r="E59" s="38">
        <f t="shared" si="4"/>
        <v>644091</v>
      </c>
      <c r="F59" s="34">
        <f t="shared" si="5"/>
        <v>0.23957654505039325</v>
      </c>
    </row>
    <row r="60" spans="1:6" s="100" customFormat="1" ht="26.25">
      <c r="A60" s="39" t="s">
        <v>56</v>
      </c>
      <c r="B60" s="38">
        <v>133406</v>
      </c>
      <c r="C60" s="38">
        <v>188660</v>
      </c>
      <c r="D60" s="38">
        <v>148517</v>
      </c>
      <c r="E60" s="38">
        <f t="shared" si="4"/>
        <v>-40143</v>
      </c>
      <c r="F60" s="34">
        <f t="shared" si="5"/>
        <v>-0.212779603519559</v>
      </c>
    </row>
    <row r="61" spans="1:6" s="100" customFormat="1" ht="26.25">
      <c r="A61" s="39" t="s">
        <v>57</v>
      </c>
      <c r="B61" s="38">
        <v>7503953</v>
      </c>
      <c r="C61" s="38">
        <v>7177616</v>
      </c>
      <c r="D61" s="38">
        <v>7909679</v>
      </c>
      <c r="E61" s="38">
        <f t="shared" si="4"/>
        <v>732063</v>
      </c>
      <c r="F61" s="34">
        <f t="shared" si="5"/>
        <v>0.10199250001671864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4877809</v>
      </c>
      <c r="C63" s="38">
        <v>5056040</v>
      </c>
      <c r="D63" s="38">
        <v>4460937</v>
      </c>
      <c r="E63" s="38">
        <f t="shared" si="4"/>
        <v>-595103</v>
      </c>
      <c r="F63" s="34">
        <f t="shared" si="5"/>
        <v>-0.11770140267877628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1472950</v>
      </c>
      <c r="C65" s="38">
        <v>1730449</v>
      </c>
      <c r="D65" s="38">
        <v>1273097</v>
      </c>
      <c r="E65" s="38">
        <f t="shared" si="4"/>
        <v>-457352</v>
      </c>
      <c r="F65" s="34">
        <f t="shared" si="5"/>
        <v>-0.26429672298923573</v>
      </c>
    </row>
    <row r="66" spans="1:6" s="102" customFormat="1" ht="26.25">
      <c r="A66" s="59" t="s">
        <v>62</v>
      </c>
      <c r="B66" s="44">
        <v>16827955.19</v>
      </c>
      <c r="C66" s="44">
        <v>16841221</v>
      </c>
      <c r="D66" s="44">
        <v>17124776</v>
      </c>
      <c r="E66" s="44">
        <f t="shared" si="4"/>
        <v>283555</v>
      </c>
      <c r="F66" s="45">
        <f t="shared" si="5"/>
        <v>0.016836962118126707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16827955.19</v>
      </c>
      <c r="C71" s="61">
        <v>16841221</v>
      </c>
      <c r="D71" s="61">
        <v>17124776</v>
      </c>
      <c r="E71" s="61">
        <f t="shared" si="4"/>
        <v>283555</v>
      </c>
      <c r="F71" s="45">
        <f t="shared" si="5"/>
        <v>0.016836962118126707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12065339.899999999</v>
      </c>
      <c r="C74" s="33">
        <v>10756746</v>
      </c>
      <c r="D74" s="33">
        <v>12327051</v>
      </c>
      <c r="E74" s="29">
        <f aca="true" t="shared" si="6" ref="E74:E92">D74-C74</f>
        <v>1570305</v>
      </c>
      <c r="F74" s="34">
        <f aca="true" t="shared" si="7" ref="F74:F92">IF(ISBLANK(E74),"  ",IF(C74&gt;0,E74/C74,IF(E74&gt;0,1,0)))</f>
        <v>0.14598327412397763</v>
      </c>
    </row>
    <row r="75" spans="1:6" s="100" customFormat="1" ht="26.25">
      <c r="A75" s="39" t="s">
        <v>70</v>
      </c>
      <c r="B75" s="36">
        <v>175755.03999999998</v>
      </c>
      <c r="C75" s="36">
        <v>242766</v>
      </c>
      <c r="D75" s="36">
        <v>0</v>
      </c>
      <c r="E75" s="38">
        <f t="shared" si="6"/>
        <v>-242766</v>
      </c>
      <c r="F75" s="34">
        <f t="shared" si="7"/>
        <v>-1</v>
      </c>
    </row>
    <row r="76" spans="1:6" s="100" customFormat="1" ht="26.25">
      <c r="A76" s="39" t="s">
        <v>71</v>
      </c>
      <c r="B76" s="29">
        <v>3934919.3600000003</v>
      </c>
      <c r="C76" s="29">
        <v>4776524</v>
      </c>
      <c r="D76" s="29">
        <v>4467179</v>
      </c>
      <c r="E76" s="38">
        <f t="shared" si="6"/>
        <v>-309345</v>
      </c>
      <c r="F76" s="34">
        <f t="shared" si="7"/>
        <v>-0.06476362308657928</v>
      </c>
    </row>
    <row r="77" spans="1:6" s="102" customFormat="1" ht="26.25">
      <c r="A77" s="59" t="s">
        <v>72</v>
      </c>
      <c r="B77" s="61">
        <v>16176014.299999997</v>
      </c>
      <c r="C77" s="61">
        <v>15776036</v>
      </c>
      <c r="D77" s="61">
        <v>16794230</v>
      </c>
      <c r="E77" s="44">
        <f t="shared" si="6"/>
        <v>1018194</v>
      </c>
      <c r="F77" s="45">
        <f t="shared" si="7"/>
        <v>0.06454054744804082</v>
      </c>
    </row>
    <row r="78" spans="1:6" s="100" customFormat="1" ht="26.25">
      <c r="A78" s="39" t="s">
        <v>73</v>
      </c>
      <c r="B78" s="36">
        <v>35151.85</v>
      </c>
      <c r="C78" s="36">
        <v>22780</v>
      </c>
      <c r="D78" s="36">
        <v>50900</v>
      </c>
      <c r="E78" s="38">
        <f t="shared" si="6"/>
        <v>28120</v>
      </c>
      <c r="F78" s="34">
        <f t="shared" si="7"/>
        <v>1.23441615452151</v>
      </c>
    </row>
    <row r="79" spans="1:6" s="100" customFormat="1" ht="26.25">
      <c r="A79" s="39" t="s">
        <v>74</v>
      </c>
      <c r="B79" s="33">
        <v>333554</v>
      </c>
      <c r="C79" s="33">
        <v>817188</v>
      </c>
      <c r="D79" s="33">
        <v>151517</v>
      </c>
      <c r="E79" s="38">
        <f t="shared" si="6"/>
        <v>-665671</v>
      </c>
      <c r="F79" s="34">
        <f t="shared" si="7"/>
        <v>-0.8145873409790648</v>
      </c>
    </row>
    <row r="80" spans="1:6" s="100" customFormat="1" ht="26.25">
      <c r="A80" s="39" t="s">
        <v>75</v>
      </c>
      <c r="B80" s="29">
        <v>111343</v>
      </c>
      <c r="C80" s="29">
        <v>163337</v>
      </c>
      <c r="D80" s="29">
        <v>37219</v>
      </c>
      <c r="E80" s="38">
        <f t="shared" si="6"/>
        <v>-126118</v>
      </c>
      <c r="F80" s="34">
        <f t="shared" si="7"/>
        <v>-0.7721336867947862</v>
      </c>
    </row>
    <row r="81" spans="1:6" s="102" customFormat="1" ht="26.25">
      <c r="A81" s="42" t="s">
        <v>76</v>
      </c>
      <c r="B81" s="61">
        <v>480049.2799999999</v>
      </c>
      <c r="C81" s="61">
        <v>1003305</v>
      </c>
      <c r="D81" s="61">
        <v>239636</v>
      </c>
      <c r="E81" s="44">
        <f t="shared" si="6"/>
        <v>-763669</v>
      </c>
      <c r="F81" s="45">
        <f t="shared" si="7"/>
        <v>-0.7611533880524866</v>
      </c>
    </row>
    <row r="82" spans="1:6" s="100" customFormat="1" ht="26.25">
      <c r="A82" s="39" t="s">
        <v>77</v>
      </c>
      <c r="B82" s="29">
        <v>75575.77</v>
      </c>
      <c r="C82" s="29">
        <v>29724</v>
      </c>
      <c r="D82" s="29">
        <v>25700</v>
      </c>
      <c r="E82" s="38">
        <f t="shared" si="6"/>
        <v>-4024</v>
      </c>
      <c r="F82" s="34">
        <f t="shared" si="7"/>
        <v>-0.13537881846319472</v>
      </c>
    </row>
    <row r="83" spans="1:6" s="100" customFormat="1" ht="26.25">
      <c r="A83" s="39" t="s">
        <v>78</v>
      </c>
      <c r="B83" s="38">
        <v>10290.75</v>
      </c>
      <c r="C83" s="38">
        <v>32156</v>
      </c>
      <c r="D83" s="38">
        <v>65211</v>
      </c>
      <c r="E83" s="38">
        <f t="shared" si="6"/>
        <v>33055</v>
      </c>
      <c r="F83" s="34">
        <f t="shared" si="7"/>
        <v>1.0279574573951984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0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85866.52</v>
      </c>
      <c r="C86" s="44">
        <v>61880</v>
      </c>
      <c r="D86" s="44">
        <v>90911</v>
      </c>
      <c r="E86" s="44">
        <f t="shared" si="6"/>
        <v>29031</v>
      </c>
      <c r="F86" s="45">
        <f t="shared" si="7"/>
        <v>0.46914996767937944</v>
      </c>
    </row>
    <row r="87" spans="1:6" s="100" customFormat="1" ht="26.25">
      <c r="A87" s="39" t="s">
        <v>82</v>
      </c>
      <c r="B87" s="38">
        <v>0</v>
      </c>
      <c r="C87" s="38">
        <v>0</v>
      </c>
      <c r="D87" s="38">
        <v>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86025.09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86025.09</v>
      </c>
      <c r="C90" s="61">
        <v>0</v>
      </c>
      <c r="D90" s="61">
        <v>0</v>
      </c>
      <c r="E90" s="61">
        <f t="shared" si="6"/>
        <v>0</v>
      </c>
      <c r="F90" s="45">
        <f t="shared" si="7"/>
        <v>0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16827955.189999998</v>
      </c>
      <c r="C92" s="64">
        <v>16841221</v>
      </c>
      <c r="D92" s="64">
        <v>17124776</v>
      </c>
      <c r="E92" s="64">
        <f t="shared" si="6"/>
        <v>283555</v>
      </c>
      <c r="F92" s="65">
        <f t="shared" si="7"/>
        <v>0.016836962118126707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8" sqref="B8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88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SUBoard!B8+SUBR!B8+SUNO!B8+SUSLA!B8+SULaw!B8+SUAg!B8</f>
        <v>42996163</v>
      </c>
      <c r="C8" s="33">
        <f>SUBoard!C8+SUBR!C8+SUNO!C8+SUSLA!C8+SULaw!C8+SUAg!C8</f>
        <v>42996163</v>
      </c>
      <c r="D8" s="33">
        <f>SUBoard!D8+SUBR!D8+SUNO!D8+SUSLA!D8+SULaw!D8+SUAg!D8</f>
        <v>41490381</v>
      </c>
      <c r="E8" s="33">
        <f>D8-C8</f>
        <v>-1505782</v>
      </c>
      <c r="F8" s="34">
        <f>IF(ISBLANK(E8),"  ",IF(C8&gt;0,E8/C8,IF(E8&gt;0,1,0)))</f>
        <v>-0.03502131108768938</v>
      </c>
    </row>
    <row r="9" spans="1:6" s="24" customFormat="1" ht="26.25">
      <c r="A9" s="32" t="s">
        <v>13</v>
      </c>
      <c r="B9" s="33">
        <f>SUBoard!B9+SUBR!B9+SUNO!B9+SUSLA!B9+SULaw!B9+SUAg!B9</f>
        <v>0</v>
      </c>
      <c r="C9" s="33">
        <f>SUBoard!C9+SUBR!C9+SUNO!C9+SUSLA!C9+SULaw!C9+SUAg!C9</f>
        <v>0</v>
      </c>
      <c r="D9" s="33">
        <f>SUBoard!D9+SUBR!D9+SUNO!D9+SUSLA!D9+SULaw!D9+SUAg!D9</f>
        <v>0</v>
      </c>
      <c r="E9" s="33">
        <f aca="true" t="shared" si="0" ref="E9:E24">D9-C9</f>
        <v>0</v>
      </c>
      <c r="F9" s="34">
        <f aca="true" t="shared" si="1" ref="F9:F24">IF(ISBLANK(E9),"  ",IF(C9&gt;0,E9/C9,IF(E9&gt;0,1,0)))</f>
        <v>0</v>
      </c>
    </row>
    <row r="10" spans="1:6" s="24" customFormat="1" ht="26.25">
      <c r="A10" s="35" t="s">
        <v>14</v>
      </c>
      <c r="B10" s="33">
        <f>SUBoard!B10+SUBR!B10+SUNO!B10+SUSLA!B10+SULaw!B10+SUAg!B10</f>
        <v>4315716.59</v>
      </c>
      <c r="C10" s="33">
        <f>SUBoard!C10+SUBR!C10+SUNO!C10+SUSLA!C10+SULaw!C10+SUAg!C10</f>
        <v>4965616</v>
      </c>
      <c r="D10" s="33">
        <f>SUBoard!D10+SUBR!D10+SUNO!D10+SUSLA!D10+SULaw!D10+SUAg!D10</f>
        <v>4705283</v>
      </c>
      <c r="E10" s="33">
        <f t="shared" si="0"/>
        <v>-260333</v>
      </c>
      <c r="F10" s="34">
        <f t="shared" si="1"/>
        <v>-0.05242713089373</v>
      </c>
    </row>
    <row r="11" spans="1:6" s="24" customFormat="1" ht="26.25">
      <c r="A11" s="37" t="s">
        <v>15</v>
      </c>
      <c r="B11" s="33">
        <f>SUBoard!B11+SUBR!B11+SUNO!B11+SUSLA!B11+SULaw!B11+SUAg!B11</f>
        <v>0</v>
      </c>
      <c r="C11" s="33">
        <f>SUBoard!C11+SUBR!C11+SUNO!C11+SUSLA!C11+SULaw!C11+SUAg!C11</f>
        <v>0</v>
      </c>
      <c r="D11" s="33">
        <f>SUBoard!D11+SUBR!D11+SUNO!D11+SUSLA!D11+SULaw!D11+SUAg!D11</f>
        <v>0</v>
      </c>
      <c r="E11" s="33">
        <f t="shared" si="0"/>
        <v>0</v>
      </c>
      <c r="F11" s="34">
        <f t="shared" si="1"/>
        <v>0</v>
      </c>
    </row>
    <row r="12" spans="1:6" s="24" customFormat="1" ht="26.25">
      <c r="A12" s="39" t="s">
        <v>16</v>
      </c>
      <c r="B12" s="33">
        <f>SUBoard!B12+SUBR!B12+SUNO!B12+SUSLA!B12+SULaw!B12+SUAg!B12</f>
        <v>2596468.59</v>
      </c>
      <c r="C12" s="33">
        <f>SUBoard!C12+SUBR!C12+SUNO!C12+SUSLA!C12+SULaw!C12+SUAg!C12</f>
        <v>2995616</v>
      </c>
      <c r="D12" s="33">
        <f>SUBoard!D12+SUBR!D12+SUNO!D12+SUSLA!D12+SULaw!D12+SUAg!D12</f>
        <v>2905283</v>
      </c>
      <c r="E12" s="33">
        <f t="shared" si="0"/>
        <v>-90333</v>
      </c>
      <c r="F12" s="34">
        <f t="shared" si="1"/>
        <v>-0.030155066603997308</v>
      </c>
    </row>
    <row r="13" spans="1:6" s="24" customFormat="1" ht="26.25">
      <c r="A13" s="39" t="s">
        <v>17</v>
      </c>
      <c r="B13" s="33">
        <f>SUBoard!B13+SUBR!B13+SUNO!B13+SUSLA!B13+SULaw!B13+SUAg!B13</f>
        <v>749248</v>
      </c>
      <c r="C13" s="33">
        <f>SUBoard!C13+SUBR!C13+SUNO!C13+SUSLA!C13+SULaw!C13+SUAg!C13</f>
        <v>1000000</v>
      </c>
      <c r="D13" s="33">
        <f>SUBoard!D13+SUBR!D13+SUNO!D13+SUSLA!D13+SULaw!D13+SUAg!D13</f>
        <v>1000000</v>
      </c>
      <c r="E13" s="33">
        <f t="shared" si="0"/>
        <v>0</v>
      </c>
      <c r="F13" s="34">
        <f t="shared" si="1"/>
        <v>0</v>
      </c>
    </row>
    <row r="14" spans="1:6" s="24" customFormat="1" ht="26.25">
      <c r="A14" s="39" t="s">
        <v>18</v>
      </c>
      <c r="B14" s="33">
        <f>SUBoard!B14+SUBR!B14+SUNO!B14+SUSLA!B14+SULaw!B14+SUAg!B14</f>
        <v>0</v>
      </c>
      <c r="C14" s="33">
        <f>SUBoard!C14+SUBR!C14+SUNO!C14+SUSLA!C14+SULaw!C14+SUAg!C14</f>
        <v>0</v>
      </c>
      <c r="D14" s="33">
        <f>SUBoard!D14+SUBR!D14+SUNO!D14+SUSLA!D14+SULaw!D14+SUAg!D14</f>
        <v>0</v>
      </c>
      <c r="E14" s="33">
        <f t="shared" si="0"/>
        <v>0</v>
      </c>
      <c r="F14" s="34">
        <f t="shared" si="1"/>
        <v>0</v>
      </c>
    </row>
    <row r="15" spans="1:6" s="24" customFormat="1" ht="26.25">
      <c r="A15" s="39" t="s">
        <v>19</v>
      </c>
      <c r="B15" s="33">
        <f>SUBoard!B15+SUBR!B15+SUNO!B15+SUSLA!B15+SULaw!B15+SUAg!B15</f>
        <v>0</v>
      </c>
      <c r="C15" s="33">
        <f>SUBoard!C15+SUBR!C15+SUNO!C15+SUSLA!C15+SULaw!C15+SUAg!C15</f>
        <v>0</v>
      </c>
      <c r="D15" s="33">
        <f>SUBoard!D15+SUBR!D15+SUNO!D15+SUSLA!D15+SULaw!D15+SUAg!D15</f>
        <v>0</v>
      </c>
      <c r="E15" s="33">
        <f t="shared" si="0"/>
        <v>0</v>
      </c>
      <c r="F15" s="34">
        <f t="shared" si="1"/>
        <v>0</v>
      </c>
    </row>
    <row r="16" spans="1:6" s="24" customFormat="1" ht="26.25">
      <c r="A16" s="39" t="s">
        <v>20</v>
      </c>
      <c r="B16" s="33">
        <f>SUBoard!B16+SUBR!B16+SUNO!B16+SUSLA!B16+SULaw!B16+SUAg!B16</f>
        <v>50000</v>
      </c>
      <c r="C16" s="33">
        <f>SUBoard!C16+SUBR!C16+SUNO!C16+SUSLA!C16+SULaw!C16+SUAg!C16</f>
        <v>50000</v>
      </c>
      <c r="D16" s="33">
        <f>SUBoard!D16+SUBR!D16+SUNO!D16+SUSLA!D16+SULaw!D16+SUAg!D16</f>
        <v>50000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SUBoard!B17+SUBR!B17+SUNO!B17+SUSLA!B17+SULaw!B17+SUAg!B17</f>
        <v>920000</v>
      </c>
      <c r="C17" s="33">
        <f>SUBoard!C17+SUBR!C17+SUNO!C17+SUSLA!C17+SULaw!C17+SUAg!C17</f>
        <v>920000</v>
      </c>
      <c r="D17" s="33">
        <f>SUBoard!D17+SUBR!D17+SUNO!D17+SUSLA!D17+SULaw!D17+SUAg!D17</f>
        <v>750000</v>
      </c>
      <c r="E17" s="33">
        <f t="shared" si="0"/>
        <v>-170000</v>
      </c>
      <c r="F17" s="34">
        <f t="shared" si="1"/>
        <v>-0.18478260869565216</v>
      </c>
    </row>
    <row r="18" spans="1:6" s="24" customFormat="1" ht="26.25">
      <c r="A18" s="39" t="s">
        <v>22</v>
      </c>
      <c r="B18" s="33">
        <f>SUBoard!B18+SUBR!B18+SUNO!B18+SUSLA!B18+SULaw!B18+SUAg!B18</f>
        <v>0</v>
      </c>
      <c r="C18" s="33">
        <f>SUBoard!C18+SUBR!C18+SUNO!C18+SUSLA!C18+SULaw!C18+SUAg!C18</f>
        <v>0</v>
      </c>
      <c r="D18" s="33">
        <f>SUBoard!D18+SUBR!D18+SUNO!D18+SUSLA!D18+SULaw!D18+SUAg!D18</f>
        <v>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SUBoard!B19+SUBR!B19+SUNO!B19+SUSLA!B19+SULaw!B19+SUAg!B19</f>
        <v>0</v>
      </c>
      <c r="C19" s="33">
        <f>SUBoard!C19+SUBR!C19+SUNO!C19+SUSLA!C19+SULaw!C19+SUAg!C19</f>
        <v>0</v>
      </c>
      <c r="D19" s="33">
        <f>SUBoard!D19+SUBR!D19+SUNO!D19+SUSLA!D19+SULaw!D19+SUAg!D19</f>
        <v>0</v>
      </c>
      <c r="E19" s="33">
        <f t="shared" si="0"/>
        <v>0</v>
      </c>
      <c r="F19" s="34">
        <f t="shared" si="1"/>
        <v>0</v>
      </c>
    </row>
    <row r="20" spans="1:6" s="24" customFormat="1" ht="26.25">
      <c r="A20" s="39" t="s">
        <v>24</v>
      </c>
      <c r="B20" s="33">
        <f>SUBoard!B20+SUBR!B20+SUNO!B20+SUSLA!B20+SULaw!B20+SUAg!B20</f>
        <v>0</v>
      </c>
      <c r="C20" s="33">
        <f>SUBoard!C20+SUBR!C20+SUNO!C20+SUSLA!C20+SULaw!C20+SUAg!C20</f>
        <v>0</v>
      </c>
      <c r="D20" s="33">
        <f>SUBoard!D20+SUBR!D20+SUNO!D20+SUSLA!D20+SULaw!D20+SUAg!D20</f>
        <v>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SUBoard!B21+SUBR!B21+SUNO!B21+SUSLA!B21+SULaw!B21+SUAg!B21</f>
        <v>0</v>
      </c>
      <c r="C21" s="33">
        <f>SUBoard!C21+SUBR!C21+SUNO!C21+SUSLA!C21+SULaw!C21+SUAg!C21</f>
        <v>0</v>
      </c>
      <c r="D21" s="33">
        <f>SUBoard!D21+SUBR!D21+SUNO!D21+SUSLA!D21+SULaw!D21+SUAg!D21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SUBoard!B22+SUBR!B22+SUNO!B22+SUSLA!B22+SULaw!B22+SUAg!B22</f>
        <v>0</v>
      </c>
      <c r="C22" s="33">
        <f>SUBoard!C22+SUBR!C22+SUNO!C22+SUSLA!C22+SULaw!C22+SUAg!C22</f>
        <v>0</v>
      </c>
      <c r="D22" s="33">
        <f>SUBoard!D22+SUBR!D22+SUNO!D22+SUSLA!D22+SULaw!D22+SUAg!D22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SUBoard!B23+SUBR!B23+SUNO!B23+SUSLA!B23+SULaw!B23+SUAg!B23</f>
        <v>0</v>
      </c>
      <c r="C23" s="33">
        <f>SUBoard!C23+SUBR!C23+SUNO!C23+SUSLA!C23+SULaw!C23+SUAg!C23</f>
        <v>0</v>
      </c>
      <c r="D23" s="33">
        <f>SUBoard!D23+SUBR!D23+SUNO!D23+SUSLA!D23+SULaw!D23+SUAg!D23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SUBoard!B24+SUBR!B24+SUNO!B24+SUSLA!B24+SULaw!B24+SUAg!B24</f>
        <v>0</v>
      </c>
      <c r="C24" s="33">
        <f>SUBoard!C24+SUBR!C24+SUNO!C24+SUSLA!C24+SULaw!C24+SUAg!C24</f>
        <v>0</v>
      </c>
      <c r="D24" s="33">
        <f>SUBoard!D24+SUBR!D24+SUNO!D24+SUSLA!D24+SULaw!D24+SUAg!D24</f>
        <v>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SUBoard!B25+SUBR!B25+SUNO!B25+SUSLA!B25+SULaw!B25+SUAg!B25</f>
        <v>0</v>
      </c>
      <c r="C25" s="33">
        <f>SUBoard!C25+SUBR!C25+SUNO!C25+SUSLA!C25+SULaw!C25+SUAg!C25</f>
        <v>0</v>
      </c>
      <c r="D25" s="33">
        <f>SUBoard!D25+SUBR!D25+SUNO!D25+SUSLA!D25+SULaw!D25+SUAg!D25</f>
        <v>0</v>
      </c>
      <c r="E25" s="33">
        <f>D25-C25</f>
        <v>0</v>
      </c>
      <c r="F25" s="34">
        <f>IF(ISBLANK(E25),"  ",IF(C25&gt;0,E25/C25,IF(E25&gt;0,1,0)))</f>
        <v>0</v>
      </c>
    </row>
    <row r="26" spans="1:6" s="24" customFormat="1" ht="26.25">
      <c r="A26" s="40" t="s">
        <v>30</v>
      </c>
      <c r="B26" s="33">
        <f>SUBoard!B26+SUBR!B26+SUNO!B26+SUSLA!B26+SULaw!B26+SUAg!B26</f>
        <v>0</v>
      </c>
      <c r="C26" s="33">
        <f>SUBoard!C26+SUBR!C26+SUNO!C26+SUSLA!C26+SULaw!C26+SUAg!C26</f>
        <v>0</v>
      </c>
      <c r="D26" s="33">
        <f>SUBoard!D26+SUBR!D26+SUNO!D26+SUSLA!D26+SULaw!D26+SUAg!D26</f>
        <v>0</v>
      </c>
      <c r="E26" s="33">
        <f>D26-C26</f>
        <v>0</v>
      </c>
      <c r="F26" s="34">
        <f>IF(ISBLANK(E26),"  ",IF(C26&gt;0,E26/C26,IF(E26&gt;0,1,0)))</f>
        <v>0</v>
      </c>
    </row>
    <row r="27" spans="1:6" s="24" customFormat="1" ht="26.25">
      <c r="A27" s="40" t="s">
        <v>31</v>
      </c>
      <c r="B27" s="33">
        <f>SUBoard!B27+SUBR!B27+SUNO!B27+SUSLA!B27+SULaw!B27+SUAg!B27</f>
        <v>0</v>
      </c>
      <c r="C27" s="33">
        <f>SUBoard!C27+SUBR!C27+SUNO!C27+SUSLA!C27+SULaw!C27+SUAg!C27</f>
        <v>0</v>
      </c>
      <c r="D27" s="33">
        <f>SUBoard!D27+SUBR!D27+SUNO!D27+SUSLA!D27+SULaw!D27+SUAg!D27</f>
        <v>0</v>
      </c>
      <c r="E27" s="33">
        <f>D27-C27</f>
        <v>0</v>
      </c>
      <c r="F27" s="34">
        <f>IF(ISBLANK(E27),"  ",IF(C27&gt;0,E27/C27,IF(E27&gt;0,1,0)))</f>
        <v>0</v>
      </c>
    </row>
    <row r="28" spans="1:6" s="24" customFormat="1" ht="26.25">
      <c r="A28" s="40" t="s">
        <v>87</v>
      </c>
      <c r="B28" s="33">
        <f>SUBoard!B28+SUBR!B28+SUNO!B28+SUSLA!B28+SULaw!B28+SUAg!B28</f>
        <v>0</v>
      </c>
      <c r="C28" s="33">
        <f>SUBoard!C28+SUBR!C28+SUNO!C28+SUSLA!C28+SULaw!C28+SUAg!C28</f>
        <v>0</v>
      </c>
      <c r="D28" s="33">
        <f>SUBoard!D28+SUBR!D28+SUNO!D28+SUSLA!D28+SULaw!D28+SUAg!D28</f>
        <v>0</v>
      </c>
      <c r="E28" s="33">
        <f>D28-C28</f>
        <v>0</v>
      </c>
      <c r="F28" s="34">
        <f>IF(ISBLANK(E28),"  ",IF(C28&gt;0,E28/C28,IF(E28&gt;0,1,0)))</f>
        <v>0</v>
      </c>
    </row>
    <row r="29" spans="1:6" s="24" customFormat="1" ht="26.25">
      <c r="A29" s="40" t="s">
        <v>32</v>
      </c>
      <c r="B29" s="33">
        <f>SUBoard!B29+SUBR!B29+SUNO!B29+SUSLA!B29+SULaw!B29+SUAg!B29</f>
        <v>0</v>
      </c>
      <c r="C29" s="33">
        <f>SUBoard!C29+SUBR!C29+SUNO!C29+SUSLA!C29+SULaw!C29+SUAg!C29</f>
        <v>0</v>
      </c>
      <c r="D29" s="33">
        <f>SUBoard!D29+SUBR!D29+SUNO!D29+SUSLA!D29+SULaw!D29+SUAg!D29</f>
        <v>0</v>
      </c>
      <c r="E29" s="33">
        <f>D29-C29</f>
        <v>0</v>
      </c>
      <c r="F29" s="34">
        <f>IF(ISBLANK(E29),"  ",IF(C29&gt;0,E29/C29,IF(E29&gt;0,1,0)))</f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8" s="24" customFormat="1" ht="26.25">
      <c r="A31" s="37" t="s">
        <v>34</v>
      </c>
      <c r="B31" s="33">
        <f>SUBoard!B31+SUBR!B31+SUNO!B31+SUSLA!B31+SULaw!B31+SUAg!B31</f>
        <v>0</v>
      </c>
      <c r="C31" s="33">
        <f>SUBoard!C31+SUBR!C31+SUNO!C31+SUSLA!C31+SULaw!C31+SUAg!C31</f>
        <v>0</v>
      </c>
      <c r="D31" s="33">
        <f>SUBoard!D31+SUBR!D31+SUNO!D31+SUSLA!D31+SULaw!D31+SUAg!D31</f>
        <v>0</v>
      </c>
      <c r="E31" s="33">
        <f>D31-C31</f>
        <v>0</v>
      </c>
      <c r="F31" s="34">
        <f>IF(ISBLANK(E31),"  ",IF(C31&gt;0,E31/C31,IF(E31&gt;0,1,0)))</f>
        <v>0</v>
      </c>
      <c r="H31" s="24" t="s">
        <v>46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SUBoard!B33+SUBR!B33+SUNO!B33+SUSLA!B33+SULaw!B33+SUAg!B33</f>
        <v>0</v>
      </c>
      <c r="C33" s="33">
        <f>SUBoard!C33+SUBR!C33+SUNO!C33+SUSLA!C33+SULaw!C33+SUAg!C33</f>
        <v>0</v>
      </c>
      <c r="D33" s="33">
        <f>SUBoard!D33+SUBR!D33+SUNO!D33+SUSLA!D33+SULaw!D33+SUAg!D33</f>
        <v>0</v>
      </c>
      <c r="E33" s="33">
        <f>D33-C33</f>
        <v>0</v>
      </c>
      <c r="F33" s="34">
        <f>IF(ISBLANK(E33),"  ",IF(C33&gt;0,E33/C33,IF(E33&gt;0,1,0)))</f>
        <v>0</v>
      </c>
    </row>
    <row r="34" spans="1:8" s="24" customFormat="1" ht="26.25">
      <c r="A34" s="39" t="s">
        <v>36</v>
      </c>
      <c r="B34" s="90"/>
      <c r="C34" s="90"/>
      <c r="D34" s="90"/>
      <c r="E34" s="36"/>
      <c r="F34" s="34" t="s">
        <v>37</v>
      </c>
      <c r="H34" s="24" t="s">
        <v>46</v>
      </c>
    </row>
    <row r="35" spans="1:6" s="46" customFormat="1" ht="26.25">
      <c r="A35" s="43" t="s">
        <v>38</v>
      </c>
      <c r="B35" s="52">
        <f>SUBoard!B35+SUBR!B35+SUNO!B35+SUSLA!B35+SULaw!B35+SUAg!B35</f>
        <v>47311879.589999996</v>
      </c>
      <c r="C35" s="52">
        <f>SUBoard!C35+SUBR!C35+SUNO!C35+SUSLA!C35+SULaw!C35+SUAg!C35</f>
        <v>47961779</v>
      </c>
      <c r="D35" s="52">
        <f>SUBoard!D35+SUBR!D35+SUNO!D35+SUSLA!D35+SULaw!D35+SUAg!D35</f>
        <v>46195664</v>
      </c>
      <c r="E35" s="52">
        <f>D35-C35</f>
        <v>-1766115</v>
      </c>
      <c r="F35" s="45">
        <f>IF(ISBLANK(E35),"  ",IF(C35&gt;0,E35/C35,IF(E35&gt;0,1,0)))</f>
        <v>-0.03682338388657352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SUBoard!B37+SUBR!B37+SUNO!B37+SUSLA!B37+SULaw!B37+SUAg!B37</f>
        <v>0</v>
      </c>
      <c r="C37" s="33">
        <f>SUBoard!C37+SUBR!C37+SUNO!C37+SUSLA!C37+SULaw!C37+SUAg!C37</f>
        <v>0</v>
      </c>
      <c r="D37" s="33">
        <f>SUBoard!D37+SUBR!D37+SUNO!D37+SUSLA!D37+SULaw!D37+SUAg!D37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SUBoard!B38+SUBR!B38+SUNO!B38+SUSLA!B38+SULaw!B38+SUAg!B38</f>
        <v>0</v>
      </c>
      <c r="C38" s="33">
        <f>SUBoard!C38+SUBR!C38+SUNO!C38+SUSLA!C38+SULaw!C38+SUAg!C38</f>
        <v>0</v>
      </c>
      <c r="D38" s="33">
        <f>SUBoard!D38+SUBR!D38+SUNO!D38+SUSLA!D38+SULaw!D38+SUAg!D38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SUBoard!B39+SUBR!B39+SUNO!B39+SUSLA!B39+SULaw!B39+SUAg!B39</f>
        <v>0</v>
      </c>
      <c r="C39" s="33">
        <f>SUBoard!C39+SUBR!C39+SUNO!C39+SUSLA!C39+SULaw!C39+SUAg!C39</f>
        <v>0</v>
      </c>
      <c r="D39" s="33">
        <f>SUBoard!D39+SUBR!D39+SUNO!D39+SUSLA!D39+SULaw!D39+SUAg!D39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SUBoard!B40+SUBR!B40+SUNO!B40+SUSLA!B40+SULaw!B40+SUAg!B40</f>
        <v>0</v>
      </c>
      <c r="C40" s="33">
        <f>SUBoard!C40+SUBR!C40+SUNO!C40+SUSLA!C40+SULaw!C40+SUAg!C40</f>
        <v>0</v>
      </c>
      <c r="D40" s="33">
        <f>SUBoard!D40+SUBR!D40+SUNO!D40+SUSLA!D40+SULaw!D40+SUAg!D40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SUBoard!B41+SUBR!B41+SUNO!B41+SUSLA!B41+SULaw!B41+SUAg!B41</f>
        <v>0</v>
      </c>
      <c r="C41" s="33">
        <f>SUBoard!C41+SUBR!C41+SUNO!C41+SUSLA!C41+SULaw!C41+SUAg!C41</f>
        <v>0</v>
      </c>
      <c r="D41" s="33">
        <f>SUBoard!D41+SUBR!D41+SUNO!D41+SUSLA!D41+SULaw!D41+SUAg!D41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SUBoard!B42+SUBR!B42+SUNO!B42+SUSLA!B42+SULaw!B42+SUAg!B42</f>
        <v>0</v>
      </c>
      <c r="C42" s="52">
        <f>SUBoard!C42+SUBR!C42+SUNO!C42+SUSLA!C42+SULaw!C42+SUAg!C42</f>
        <v>0</v>
      </c>
      <c r="D42" s="52">
        <f>SUBoard!D42+SUBR!D42+SUNO!D42+SUSLA!D42+SULaw!D42+SUAg!D42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SUBoard!B44+SUBR!B44+SUNO!B44+SUSLA!B44+SULaw!B44+SUAg!B44</f>
        <v>3684977</v>
      </c>
      <c r="C44" s="52">
        <f>SUBoard!C44+SUBR!C44+SUNO!C44+SUSLA!C44+SULaw!C44+SUAg!C44</f>
        <v>3684977</v>
      </c>
      <c r="D44" s="52">
        <f>SUBoard!D44+SUBR!D44+SUNO!D44+SUSLA!D44+SULaw!D44+SUAg!D44</f>
        <v>3411787</v>
      </c>
      <c r="E44" s="52">
        <f>D44-C44</f>
        <v>-273190</v>
      </c>
      <c r="F44" s="45">
        <f>IF(ISBLANK(E44),"  ",IF(C44&gt;0,E44/C44,IF(E44&gt;0,1,0)))</f>
        <v>-0.07413614793253798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SUBoard!B46+SUBR!B46+SUNO!B46+SUSLA!B46+SULaw!B46+SUAg!B46</f>
        <v>0</v>
      </c>
      <c r="C46" s="52">
        <f>SUBoard!C46+SUBR!C46+SUNO!C46+SUSLA!C46+SULaw!C46+SUAg!C46</f>
        <v>0</v>
      </c>
      <c r="D46" s="52">
        <f>SUBoard!D46+SUBR!D46+SUNO!D46+SUSLA!D46+SULaw!D46+SUAg!D46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SUBoard!B48+SUBR!B48+SUNO!B48+SUSLA!B48+SULaw!B48+SUAg!B48</f>
        <v>82415859.14000002</v>
      </c>
      <c r="C48" s="52">
        <f>SUBoard!C48+SUBR!C48+SUNO!C48+SUSLA!C48+SULaw!C48+SUAg!C48</f>
        <v>82836835</v>
      </c>
      <c r="D48" s="52">
        <f>SUBoard!D48+SUBR!D48+SUNO!D48+SUSLA!D48+SULaw!D48+SUAg!D48</f>
        <v>85447627</v>
      </c>
      <c r="E48" s="52">
        <f>D48-C48</f>
        <v>2610792</v>
      </c>
      <c r="F48" s="45">
        <f>IF(ISBLANK(E48),"  ",IF(C48&gt;0,E48/C48,IF(E48&gt;0,1,0)))</f>
        <v>0.031517283343816795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SUBoard!B50+SUBR!B50+SUNO!B50+SUSLA!B50+SULaw!B50+SUAg!B50</f>
        <v>3654209</v>
      </c>
      <c r="C50" s="52">
        <f>SUBoard!C50+SUBR!C50+SUNO!C50+SUSLA!C50+SULaw!C50+SUAg!C50</f>
        <v>3654209</v>
      </c>
      <c r="D50" s="52">
        <f>SUBoard!D50+SUBR!D50+SUNO!D50+SUSLA!D50+SULaw!D50+SUAg!D50</f>
        <v>3654209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SUBoard!B52+SUBR!B52+SUNO!B52+SUSLA!B52+SULaw!B52+SUAg!B52</f>
        <v>0</v>
      </c>
      <c r="C52" s="52">
        <f>SUBoard!C52+SUBR!C52+SUNO!C52+SUSLA!C52+SULaw!C52+SUAg!C52</f>
        <v>0</v>
      </c>
      <c r="D52" s="52">
        <f>SUBoard!D52+SUBR!D52+SUNO!D52+SUSLA!D52+SULaw!D52+SUAg!D52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SUBoard!B54+SUBR!B54+SUNO!B54+SUSLA!B54+SULaw!B54+SUAg!B54</f>
        <v>137066924.73000002</v>
      </c>
      <c r="C54" s="52">
        <f>SUBoard!C54+SUBR!C54+SUNO!C54+SUSLA!C54+SULaw!C54+SUAg!C54</f>
        <v>138137800</v>
      </c>
      <c r="D54" s="52">
        <f>SUBoard!D54+SUBR!D54+SUNO!D54+SUSLA!D54+SULaw!D54+SUAg!D54</f>
        <v>138709287</v>
      </c>
      <c r="E54" s="52">
        <f>D54-C54</f>
        <v>571487</v>
      </c>
      <c r="F54" s="45">
        <f>IF(ISBLANK(E54),"  ",IF(C54&gt;0,E54/C54,IF(E54&gt;0,1,0)))</f>
        <v>0.004137079061632659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7" s="24" customFormat="1" ht="26.25">
      <c r="A58" s="37" t="s">
        <v>54</v>
      </c>
      <c r="B58" s="33">
        <f>SUBoard!B58+SUBR!B58+SUNO!B58+SUSLA!B58+SULaw!B58+SUAg!B58</f>
        <v>49158069.230000004</v>
      </c>
      <c r="C58" s="33">
        <f>SUBoard!C58+SUBR!C58+SUNO!C58+SUSLA!C58+SULaw!C58+SUAg!C58</f>
        <v>51358371</v>
      </c>
      <c r="D58" s="33">
        <f>SUBoard!D58+SUBR!D58+SUNO!D58+SUSLA!D58+SULaw!D58+SUAg!D58</f>
        <v>50918757.980000004</v>
      </c>
      <c r="E58" s="33">
        <f aca="true" t="shared" si="4" ref="E58:E71">D58-C58</f>
        <v>-439613.0199999958</v>
      </c>
      <c r="F58" s="34">
        <f aca="true" t="shared" si="5" ref="F58:F71">IF(ISBLANK(E58),"  ",IF(C58&gt;0,E58/C58,IF(E58&gt;0,1,0)))</f>
        <v>-0.008559715026786886</v>
      </c>
      <c r="G58" s="86"/>
    </row>
    <row r="59" spans="1:6" s="24" customFormat="1" ht="26.25">
      <c r="A59" s="39" t="s">
        <v>55</v>
      </c>
      <c r="B59" s="33">
        <f>SUBoard!B59+SUBR!B59+SUNO!B59+SUSLA!B59+SULaw!B59+SUAg!B59</f>
        <v>2730162.77</v>
      </c>
      <c r="C59" s="33">
        <f>SUBoard!C59+SUBR!C59+SUNO!C59+SUSLA!C59+SULaw!C59+SUAg!C59</f>
        <v>2878355</v>
      </c>
      <c r="D59" s="33">
        <f>SUBoard!D59+SUBR!D59+SUNO!D59+SUSLA!D59+SULaw!D59+SUAg!D59</f>
        <v>2906541</v>
      </c>
      <c r="E59" s="33">
        <f t="shared" si="4"/>
        <v>28186</v>
      </c>
      <c r="F59" s="34">
        <f t="shared" si="5"/>
        <v>0.00979239878333284</v>
      </c>
    </row>
    <row r="60" spans="1:6" s="24" customFormat="1" ht="26.25">
      <c r="A60" s="39" t="s">
        <v>56</v>
      </c>
      <c r="B60" s="33">
        <f>SUBoard!B60+SUBR!B60+SUNO!B60+SUSLA!B60+SULaw!B60+SUAg!B60</f>
        <v>4074169.69</v>
      </c>
      <c r="C60" s="33">
        <f>SUBoard!C60+SUBR!C60+SUNO!C60+SUSLA!C60+SULaw!C60+SUAg!C60</f>
        <v>4295917</v>
      </c>
      <c r="D60" s="33">
        <f>SUBoard!D60+SUBR!D60+SUNO!D60+SUSLA!D60+SULaw!D60+SUAg!D60</f>
        <v>4095457.43</v>
      </c>
      <c r="E60" s="33">
        <f t="shared" si="4"/>
        <v>-200459.56999999983</v>
      </c>
      <c r="F60" s="34">
        <f t="shared" si="5"/>
        <v>-0.04666281261951752</v>
      </c>
    </row>
    <row r="61" spans="1:6" s="24" customFormat="1" ht="26.25">
      <c r="A61" s="39" t="s">
        <v>57</v>
      </c>
      <c r="B61" s="33">
        <f>SUBoard!B61+SUBR!B61+SUNO!B61+SUSLA!B61+SULaw!B61+SUAg!B61</f>
        <v>13514153.829999998</v>
      </c>
      <c r="C61" s="33">
        <f>SUBoard!C61+SUBR!C61+SUNO!C61+SUSLA!C61+SULaw!C61+SUAg!C61</f>
        <v>14361903</v>
      </c>
      <c r="D61" s="33">
        <f>SUBoard!D61+SUBR!D61+SUNO!D61+SUSLA!D61+SULaw!D61+SUAg!D61</f>
        <v>14651753.33</v>
      </c>
      <c r="E61" s="33">
        <f t="shared" si="4"/>
        <v>289850.3300000001</v>
      </c>
      <c r="F61" s="34">
        <f t="shared" si="5"/>
        <v>0.020181888848573904</v>
      </c>
    </row>
    <row r="62" spans="1:6" s="24" customFormat="1" ht="26.25">
      <c r="A62" s="39" t="s">
        <v>58</v>
      </c>
      <c r="B62" s="33">
        <f>SUBoard!B62+SUBR!B62+SUNO!B62+SUSLA!B62+SULaw!B62+SUAg!B62</f>
        <v>6091520.68</v>
      </c>
      <c r="C62" s="33">
        <f>SUBoard!C62+SUBR!C62+SUNO!C62+SUSLA!C62+SULaw!C62+SUAg!C62</f>
        <v>6680572</v>
      </c>
      <c r="D62" s="33">
        <f>SUBoard!D62+SUBR!D62+SUNO!D62+SUSLA!D62+SULaw!D62+SUAg!D62</f>
        <v>6432990</v>
      </c>
      <c r="E62" s="33">
        <f t="shared" si="4"/>
        <v>-247582</v>
      </c>
      <c r="F62" s="34">
        <f t="shared" si="5"/>
        <v>-0.037060000251475475</v>
      </c>
    </row>
    <row r="63" spans="1:6" s="24" customFormat="1" ht="26.25">
      <c r="A63" s="39" t="s">
        <v>59</v>
      </c>
      <c r="B63" s="33">
        <f>SUBoard!B63+SUBR!B63+SUNO!B63+SUSLA!B63+SULaw!B63+SUAg!B63</f>
        <v>30836955.59</v>
      </c>
      <c r="C63" s="33">
        <f>SUBoard!C63+SUBR!C63+SUNO!C63+SUSLA!C63+SULaw!C63+SUAg!C63</f>
        <v>27843505</v>
      </c>
      <c r="D63" s="33">
        <f>SUBoard!D63+SUBR!D63+SUNO!D63+SUSLA!D63+SULaw!D63+SUAg!D63</f>
        <v>29214312.41</v>
      </c>
      <c r="E63" s="33">
        <f t="shared" si="4"/>
        <v>1370807.4100000001</v>
      </c>
      <c r="F63" s="34">
        <f t="shared" si="5"/>
        <v>0.0492325736289307</v>
      </c>
    </row>
    <row r="64" spans="1:6" s="24" customFormat="1" ht="26.25">
      <c r="A64" s="39" t="s">
        <v>60</v>
      </c>
      <c r="B64" s="33">
        <f>SUBoard!B64+SUBR!B64+SUNO!B64+SUSLA!B64+SULaw!B64+SUAg!B64</f>
        <v>6971062.06</v>
      </c>
      <c r="C64" s="33">
        <f>SUBoard!C64+SUBR!C64+SUNO!C64+SUSLA!C64+SULaw!C64+SUAg!C64</f>
        <v>6146869</v>
      </c>
      <c r="D64" s="33">
        <f>SUBoard!D64+SUBR!D64+SUNO!D64+SUSLA!D64+SULaw!D64+SUAg!D64</f>
        <v>6261549</v>
      </c>
      <c r="E64" s="33">
        <f t="shared" si="4"/>
        <v>114680</v>
      </c>
      <c r="F64" s="34">
        <f t="shared" si="5"/>
        <v>0.018656652679599973</v>
      </c>
    </row>
    <row r="65" spans="1:6" s="24" customFormat="1" ht="26.25">
      <c r="A65" s="39" t="s">
        <v>61</v>
      </c>
      <c r="B65" s="33">
        <f>SUBoard!B65+SUBR!B65+SUNO!B65+SUSLA!B65+SULaw!B65+SUAg!B65</f>
        <v>16261934.16</v>
      </c>
      <c r="C65" s="33">
        <f>SUBoard!C65+SUBR!C65+SUNO!C65+SUSLA!C65+SULaw!C65+SUAg!C65</f>
        <v>17826977</v>
      </c>
      <c r="D65" s="33">
        <f>SUBoard!D65+SUBR!D65+SUNO!D65+SUSLA!D65+SULaw!D65+SUAg!D65</f>
        <v>17892925</v>
      </c>
      <c r="E65" s="33">
        <f t="shared" si="4"/>
        <v>65948</v>
      </c>
      <c r="F65" s="34">
        <f t="shared" si="5"/>
        <v>0.0036993372460176507</v>
      </c>
    </row>
    <row r="66" spans="1:6" s="46" customFormat="1" ht="26.25">
      <c r="A66" s="59" t="s">
        <v>62</v>
      </c>
      <c r="B66" s="52">
        <f>SUBoard!B66+SUBR!B66+SUNO!B66+SUSLA!B66+SULaw!B66+SUAg!B66</f>
        <v>129638028.00999999</v>
      </c>
      <c r="C66" s="52">
        <f>SUBoard!C66+SUBR!C66+SUNO!C66+SUSLA!C66+SULaw!C66+SUAg!C66</f>
        <v>131392469</v>
      </c>
      <c r="D66" s="52">
        <f>SUBoard!D66+SUBR!D66+SUNO!D66+SUSLA!D66+SULaw!D66+SUAg!D66</f>
        <v>132374286.15</v>
      </c>
      <c r="E66" s="52">
        <f t="shared" si="4"/>
        <v>981817.150000006</v>
      </c>
      <c r="F66" s="45">
        <f t="shared" si="5"/>
        <v>0.007472400491994758</v>
      </c>
    </row>
    <row r="67" spans="1:6" s="24" customFormat="1" ht="26.25">
      <c r="A67" s="39" t="s">
        <v>63</v>
      </c>
      <c r="B67" s="33">
        <f>SUBoard!B67+SUBR!B67+SUNO!B67+SUSLA!B67+SULaw!B67+SUAg!B67</f>
        <v>0</v>
      </c>
      <c r="C67" s="33">
        <f>SUBoard!C67+SUBR!C67+SUNO!C67+SUSLA!C67+SULaw!C67+SUAg!C67</f>
        <v>0</v>
      </c>
      <c r="D67" s="33">
        <f>SUBoard!D67+SUBR!D67+SUNO!D67+SUSLA!D67+SULaw!D67+SUAg!D67</f>
        <v>0</v>
      </c>
      <c r="E67" s="33">
        <f t="shared" si="4"/>
        <v>0</v>
      </c>
      <c r="F67" s="34">
        <f t="shared" si="5"/>
        <v>0</v>
      </c>
    </row>
    <row r="68" spans="1:6" s="24" customFormat="1" ht="26.25">
      <c r="A68" s="39" t="s">
        <v>64</v>
      </c>
      <c r="B68" s="33">
        <f>SUBoard!B68+SUBR!B68+SUNO!B68+SUSLA!B68+SULaw!B68+SUAg!B68</f>
        <v>4579054.47</v>
      </c>
      <c r="C68" s="33">
        <f>SUBoard!C68+SUBR!C68+SUNO!C68+SUSLA!C68+SULaw!C68+SUAg!C68</f>
        <v>3895490</v>
      </c>
      <c r="D68" s="33">
        <f>SUBoard!D68+SUBR!D68+SUNO!D68+SUSLA!D68+SULaw!D68+SUAg!D68</f>
        <v>3565159.79</v>
      </c>
      <c r="E68" s="33">
        <f t="shared" si="4"/>
        <v>-330330.20999999996</v>
      </c>
      <c r="F68" s="34">
        <f t="shared" si="5"/>
        <v>-0.08479811525636055</v>
      </c>
    </row>
    <row r="69" spans="1:6" s="24" customFormat="1" ht="26.25">
      <c r="A69" s="39" t="s">
        <v>65</v>
      </c>
      <c r="B69" s="33">
        <f>SUBoard!B69+SUBR!B69+SUNO!B69+SUSLA!B69+SULaw!B69+SUAg!B69</f>
        <v>2849841</v>
      </c>
      <c r="C69" s="33">
        <f>SUBoard!C69+SUBR!C69+SUNO!C69+SUSLA!C69+SULaw!C69+SUAg!C69</f>
        <v>2849841</v>
      </c>
      <c r="D69" s="33">
        <f>SUBoard!D69+SUBR!D69+SUNO!D69+SUSLA!D69+SULaw!D69+SUAg!D69</f>
        <v>2769841</v>
      </c>
      <c r="E69" s="33">
        <f t="shared" si="4"/>
        <v>-80000</v>
      </c>
      <c r="F69" s="34">
        <f t="shared" si="5"/>
        <v>-0.028071741546282756</v>
      </c>
    </row>
    <row r="70" spans="1:6" s="24" customFormat="1" ht="26.25">
      <c r="A70" s="39" t="s">
        <v>66</v>
      </c>
      <c r="B70" s="33">
        <f>SUBoard!B70+SUBR!B70+SUNO!B70+SUSLA!B70+SULaw!B70+SUAg!B70</f>
        <v>0</v>
      </c>
      <c r="C70" s="33">
        <f>SUBoard!C70+SUBR!C70+SUNO!C70+SUSLA!C70+SULaw!C70+SUAg!C70</f>
        <v>0</v>
      </c>
      <c r="D70" s="33">
        <f>SUBoard!D70+SUBR!D70+SUNO!D70+SUSLA!D70+SULaw!D70+SUAg!D70</f>
        <v>0</v>
      </c>
      <c r="E70" s="33">
        <f t="shared" si="4"/>
        <v>0</v>
      </c>
      <c r="F70" s="34">
        <f t="shared" si="5"/>
        <v>0</v>
      </c>
    </row>
    <row r="71" spans="1:6" s="46" customFormat="1" ht="26.25">
      <c r="A71" s="60" t="s">
        <v>67</v>
      </c>
      <c r="B71" s="52">
        <f>SUBoard!B71+SUBR!B71+SUNO!B71+SUSLA!B71+SULaw!B71+SUAg!B71+2</f>
        <v>137066925.48</v>
      </c>
      <c r="C71" s="52">
        <f>SUBoard!C71+SUBR!C71+SUNO!C71+SUSLA!C71+SULaw!C71+SUAg!C71</f>
        <v>138137800</v>
      </c>
      <c r="D71" s="52">
        <f>SUBoard!D71+SUBR!D71+SUNO!D71+SUSLA!D71+SULaw!D71+SUAg!D71</f>
        <v>138709286.94</v>
      </c>
      <c r="E71" s="52">
        <f t="shared" si="4"/>
        <v>571486.9399999976</v>
      </c>
      <c r="F71" s="45">
        <f t="shared" si="5"/>
        <v>0.004137078627283753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SUBoard!B74+SUBR!B74+SUNO!B74+SUSLA!B74+SULaw!B74+SUAg!B74</f>
        <v>66739198.24</v>
      </c>
      <c r="C74" s="33">
        <f>SUBoard!C74+SUBR!C74+SUNO!C74+SUSLA!C74+SULaw!C74+SUAg!C74</f>
        <v>68156687</v>
      </c>
      <c r="D74" s="33">
        <f>SUBoard!D74+SUBR!D74+SUNO!D74+SUSLA!D74+SULaw!D74+SUAg!D74</f>
        <v>69007163.1</v>
      </c>
      <c r="E74" s="33">
        <f aca="true" t="shared" si="6" ref="E74:E92">D74-C74</f>
        <v>850476.099999994</v>
      </c>
      <c r="F74" s="34">
        <f aca="true" t="shared" si="7" ref="F74:F92">IF(ISBLANK(E74),"  ",IF(C74&gt;0,E74/C74,IF(E74&gt;0,1,0)))</f>
        <v>0.012478248832722664</v>
      </c>
    </row>
    <row r="75" spans="1:6" s="24" customFormat="1" ht="26.25">
      <c r="A75" s="39" t="s">
        <v>70</v>
      </c>
      <c r="B75" s="33">
        <f>SUBoard!B75+SUBR!B75+SUNO!B75+SUSLA!B75+SULaw!B75+SUAg!B75</f>
        <v>852055.45</v>
      </c>
      <c r="C75" s="33">
        <f>SUBoard!C75+SUBR!C75+SUNO!C75+SUSLA!C75+SULaw!C75+SUAg!C75</f>
        <v>298977</v>
      </c>
      <c r="D75" s="33">
        <f>SUBoard!D75+SUBR!D75+SUNO!D75+SUSLA!D75+SULaw!D75+SUAg!D75</f>
        <v>317477</v>
      </c>
      <c r="E75" s="33">
        <f t="shared" si="6"/>
        <v>18500</v>
      </c>
      <c r="F75" s="34">
        <f t="shared" si="7"/>
        <v>0.061877669519728944</v>
      </c>
    </row>
    <row r="76" spans="1:6" s="24" customFormat="1" ht="26.25">
      <c r="A76" s="39" t="s">
        <v>71</v>
      </c>
      <c r="B76" s="33">
        <f>SUBoard!B76+SUBR!B76+SUNO!B76+SUSLA!B76+SULaw!B76+SUAg!B76</f>
        <v>29340705.84</v>
      </c>
      <c r="C76" s="33">
        <f>SUBoard!C76+SUBR!C76+SUNO!C76+SUSLA!C76+SULaw!C76+SUAg!C76</f>
        <v>30683581</v>
      </c>
      <c r="D76" s="33">
        <f>SUBoard!D76+SUBR!D76+SUNO!D76+SUSLA!D76+SULaw!D76+SUAg!D76</f>
        <v>31781566.18</v>
      </c>
      <c r="E76" s="33">
        <f t="shared" si="6"/>
        <v>1097985.1799999997</v>
      </c>
      <c r="F76" s="34">
        <f t="shared" si="7"/>
        <v>0.03578412767401561</v>
      </c>
    </row>
    <row r="77" spans="1:6" s="46" customFormat="1" ht="26.25">
      <c r="A77" s="59" t="s">
        <v>72</v>
      </c>
      <c r="B77" s="52">
        <f>SUBoard!B77+SUBR!B77+SUNO!B77+SUSLA!B77+SULaw!B77+SUAg!B77</f>
        <v>96931959.52999999</v>
      </c>
      <c r="C77" s="52">
        <f>SUBoard!C77+SUBR!C77+SUNO!C77+SUSLA!C77+SULaw!C77+SUAg!C77</f>
        <v>99139245</v>
      </c>
      <c r="D77" s="52">
        <f>SUBoard!D77+SUBR!D77+SUNO!D77+SUSLA!D77+SULaw!D77+SUAg!D77</f>
        <v>101106206.28</v>
      </c>
      <c r="E77" s="52">
        <f t="shared" si="6"/>
        <v>1966961.2800000012</v>
      </c>
      <c r="F77" s="45">
        <f t="shared" si="7"/>
        <v>0.019840389948501232</v>
      </c>
    </row>
    <row r="78" spans="1:6" s="24" customFormat="1" ht="26.25">
      <c r="A78" s="39" t="s">
        <v>73</v>
      </c>
      <c r="B78" s="33">
        <f>SUBoard!B78+SUBR!B78+SUNO!B78+SUSLA!B78+SULaw!B78+SUAg!B78</f>
        <v>599378.1</v>
      </c>
      <c r="C78" s="33">
        <f>SUBoard!C78+SUBR!C78+SUNO!C78+SUSLA!C78+SULaw!C78+SUAg!C78</f>
        <v>901439</v>
      </c>
      <c r="D78" s="33">
        <f>SUBoard!D78+SUBR!D78+SUNO!D78+SUSLA!D78+SULaw!D78+SUAg!D78</f>
        <v>748543</v>
      </c>
      <c r="E78" s="33">
        <f t="shared" si="6"/>
        <v>-152896</v>
      </c>
      <c r="F78" s="34">
        <f t="shared" si="7"/>
        <v>-0.1696132517008916</v>
      </c>
    </row>
    <row r="79" spans="1:6" s="24" customFormat="1" ht="26.25">
      <c r="A79" s="39" t="s">
        <v>74</v>
      </c>
      <c r="B79" s="33">
        <f>SUBoard!B79+SUBR!B79+SUNO!B79+SUSLA!B79+SULaw!B79+SUAg!B79</f>
        <v>13411001.76</v>
      </c>
      <c r="C79" s="33">
        <f>SUBoard!C79+SUBR!C79+SUNO!C79+SUSLA!C79+SULaw!C79+SUAg!C79</f>
        <v>14850147</v>
      </c>
      <c r="D79" s="33">
        <f>SUBoard!D79+SUBR!D79+SUNO!D79+SUSLA!D79+SULaw!D79+SUAg!D79</f>
        <v>14104179</v>
      </c>
      <c r="E79" s="33">
        <f t="shared" si="6"/>
        <v>-745968</v>
      </c>
      <c r="F79" s="34">
        <f t="shared" si="7"/>
        <v>-0.05023303809719863</v>
      </c>
    </row>
    <row r="80" spans="1:6" s="24" customFormat="1" ht="26.25">
      <c r="A80" s="39" t="s">
        <v>75</v>
      </c>
      <c r="B80" s="33">
        <f>SUBoard!B80+SUBR!B80+SUNO!B80+SUSLA!B80+SULaw!B80+SUAg!B80</f>
        <v>1356338.9500000002</v>
      </c>
      <c r="C80" s="33">
        <f>SUBoard!C80+SUBR!C80+SUNO!C80+SUSLA!C80+SULaw!C80+SUAg!C80</f>
        <v>1733213</v>
      </c>
      <c r="D80" s="33">
        <f>SUBoard!D80+SUBR!D80+SUNO!D80+SUSLA!D80+SULaw!D80+SUAg!D80</f>
        <v>1665780</v>
      </c>
      <c r="E80" s="33">
        <f t="shared" si="6"/>
        <v>-67433</v>
      </c>
      <c r="F80" s="34">
        <f t="shared" si="7"/>
        <v>-0.03890635484501905</v>
      </c>
    </row>
    <row r="81" spans="1:6" s="46" customFormat="1" ht="26.25">
      <c r="A81" s="42" t="s">
        <v>76</v>
      </c>
      <c r="B81" s="52">
        <f>SUBoard!B81+SUBR!B81+SUNO!B81+SUSLA!B81+SULaw!B81+SUAg!B81</f>
        <v>15366718.81</v>
      </c>
      <c r="C81" s="52">
        <f>SUBoard!C81+SUBR!C81+SUNO!C81+SUSLA!C81+SULaw!C81+SUAg!C81</f>
        <v>17484799</v>
      </c>
      <c r="D81" s="52">
        <f>SUBoard!D81+SUBR!D81+SUNO!D81+SUSLA!D81+SULaw!D81+SUAg!D81</f>
        <v>16518502</v>
      </c>
      <c r="E81" s="52">
        <f t="shared" si="6"/>
        <v>-966297</v>
      </c>
      <c r="F81" s="45">
        <f t="shared" si="7"/>
        <v>-0.055264976165868424</v>
      </c>
    </row>
    <row r="82" spans="1:6" s="24" customFormat="1" ht="26.25">
      <c r="A82" s="39" t="s">
        <v>77</v>
      </c>
      <c r="B82" s="33">
        <f>SUBoard!B82+SUBR!B82+SUNO!B82+SUSLA!B82+SULaw!B82+SUAg!B82</f>
        <v>2252632.85</v>
      </c>
      <c r="C82" s="33">
        <f>SUBoard!C82+SUBR!C82+SUNO!C82+SUSLA!C82+SULaw!C82+SUAg!C82</f>
        <v>2005204</v>
      </c>
      <c r="D82" s="33">
        <f>SUBoard!D82+SUBR!D82+SUNO!D82+SUSLA!D82+SULaw!D82+SUAg!D82</f>
        <v>1868112</v>
      </c>
      <c r="E82" s="33">
        <f t="shared" si="6"/>
        <v>-137092</v>
      </c>
      <c r="F82" s="34">
        <f t="shared" si="7"/>
        <v>-0.0683681061876996</v>
      </c>
    </row>
    <row r="83" spans="1:6" s="24" customFormat="1" ht="26.25">
      <c r="A83" s="39" t="s">
        <v>78</v>
      </c>
      <c r="B83" s="33">
        <f>SUBoard!B83+SUBR!B83+SUNO!B83+SUSLA!B83+SULaw!B83+SUAg!B83</f>
        <v>13095773.32</v>
      </c>
      <c r="C83" s="33">
        <f>SUBoard!C83+SUBR!C83+SUNO!C83+SUSLA!C83+SULaw!C83+SUAg!C83</f>
        <v>12615174</v>
      </c>
      <c r="D83" s="33">
        <f>SUBoard!D83+SUBR!D83+SUNO!D83+SUSLA!D83+SULaw!D83+SUAg!D83</f>
        <v>12739451.87</v>
      </c>
      <c r="E83" s="33">
        <f t="shared" si="6"/>
        <v>124277.86999999918</v>
      </c>
      <c r="F83" s="34">
        <f t="shared" si="7"/>
        <v>0.009851459044480811</v>
      </c>
    </row>
    <row r="84" spans="1:6" s="24" customFormat="1" ht="26.25">
      <c r="A84" s="39" t="s">
        <v>79</v>
      </c>
      <c r="B84" s="33">
        <f>SUBoard!B84+SUBR!B84+SUNO!B84+SUSLA!B84+SULaw!B84+SUAg!B84</f>
        <v>0</v>
      </c>
      <c r="C84" s="33">
        <f>SUBoard!C84+SUBR!C84+SUNO!C84+SUSLA!C84+SULaw!C84+SUAg!C84</f>
        <v>0</v>
      </c>
      <c r="D84" s="33">
        <f>SUBoard!D84+SUBR!D84+SUNO!D84+SUSLA!D84+SULaw!D84+SUAg!D84</f>
        <v>0</v>
      </c>
      <c r="E84" s="33">
        <f t="shared" si="6"/>
        <v>0</v>
      </c>
      <c r="F84" s="34">
        <f t="shared" si="7"/>
        <v>0</v>
      </c>
    </row>
    <row r="85" spans="1:6" s="24" customFormat="1" ht="26.25">
      <c r="A85" s="39" t="s">
        <v>80</v>
      </c>
      <c r="B85" s="33">
        <f>SUBoard!B85+SUBR!B85+SUNO!B85+SUSLA!B85+SULaw!B85+SUAg!B85</f>
        <v>8064949.47</v>
      </c>
      <c r="C85" s="33">
        <f>SUBoard!C85+SUBR!C85+SUNO!C85+SUSLA!C85+SULaw!C85+SUAg!C85</f>
        <v>5985432</v>
      </c>
      <c r="D85" s="33">
        <f>SUBoard!D85+SUBR!D85+SUNO!D85+SUSLA!D85+SULaw!D85+SUAg!D85</f>
        <v>5856833.79</v>
      </c>
      <c r="E85" s="33">
        <f t="shared" si="6"/>
        <v>-128598.20999999996</v>
      </c>
      <c r="F85" s="34">
        <f t="shared" si="7"/>
        <v>-0.021485201068193568</v>
      </c>
    </row>
    <row r="86" spans="1:6" s="46" customFormat="1" ht="26.25">
      <c r="A86" s="42" t="s">
        <v>81</v>
      </c>
      <c r="B86" s="52">
        <f>SUBoard!B86+SUBR!B86+SUNO!B86+SUSLA!B86+SULaw!B86+SUAg!B86</f>
        <v>23413355.64</v>
      </c>
      <c r="C86" s="52">
        <f>SUBoard!C86+SUBR!C86+SUNO!C86+SUSLA!C86+SULaw!C86+SUAg!C86</f>
        <v>20605810</v>
      </c>
      <c r="D86" s="52">
        <f>SUBoard!D86+SUBR!D86+SUNO!D86+SUSLA!D86+SULaw!D86+SUAg!D86</f>
        <v>20464397.66</v>
      </c>
      <c r="E86" s="52">
        <f t="shared" si="6"/>
        <v>-141412.33999999985</v>
      </c>
      <c r="F86" s="45">
        <f t="shared" si="7"/>
        <v>-0.006862741139513557</v>
      </c>
    </row>
    <row r="87" spans="1:6" s="24" customFormat="1" ht="26.25">
      <c r="A87" s="39" t="s">
        <v>82</v>
      </c>
      <c r="B87" s="33">
        <f>SUBoard!B87+SUBR!B87+SUNO!B87+SUSLA!B87+SULaw!B87+SUAg!B87</f>
        <v>431074.7</v>
      </c>
      <c r="C87" s="33">
        <f>SUBoard!C87+SUBR!C87+SUNO!C87+SUSLA!C87+SULaw!C87+SUAg!C87</f>
        <v>470296</v>
      </c>
      <c r="D87" s="33">
        <f>SUBoard!D87+SUBR!D87+SUNO!D87+SUSLA!D87+SULaw!D87+SUAg!D87</f>
        <v>182532</v>
      </c>
      <c r="E87" s="33">
        <f t="shared" si="6"/>
        <v>-287764</v>
      </c>
      <c r="F87" s="34">
        <f t="shared" si="7"/>
        <v>-0.6118784765339276</v>
      </c>
    </row>
    <row r="88" spans="1:6" s="24" customFormat="1" ht="26.25">
      <c r="A88" s="39" t="s">
        <v>83</v>
      </c>
      <c r="B88" s="33">
        <f>SUBoard!B88+SUBR!B88+SUNO!B88+SUSLA!B88+SULaw!B88+SUAg!B88</f>
        <v>497895.8</v>
      </c>
      <c r="C88" s="33">
        <f>SUBoard!C88+SUBR!C88+SUNO!C88+SUSLA!C88+SULaw!C88+SUAg!C88</f>
        <v>437649</v>
      </c>
      <c r="D88" s="33">
        <f>SUBoard!D88+SUBR!D88+SUNO!D88+SUSLA!D88+SULaw!D88+SUAg!D88</f>
        <v>437649</v>
      </c>
      <c r="E88" s="33">
        <f t="shared" si="6"/>
        <v>0</v>
      </c>
      <c r="F88" s="34">
        <f t="shared" si="7"/>
        <v>0</v>
      </c>
    </row>
    <row r="89" spans="1:6" s="24" customFormat="1" ht="26.25">
      <c r="A89" s="48" t="s">
        <v>84</v>
      </c>
      <c r="B89" s="33">
        <f>SUBoard!B89+SUBR!B89+SUNO!B89+SUSLA!B89+SULaw!B89+SUAg!B89</f>
        <v>425919</v>
      </c>
      <c r="C89" s="33">
        <f>SUBoard!C89+SUBR!C89+SUNO!C89+SUSLA!C89+SULaw!C89+SUAg!C89</f>
        <v>0</v>
      </c>
      <c r="D89" s="33">
        <f>SUBoard!D89+SUBR!D89+SUNO!D89+SUSLA!D89+SULaw!D89+SUAg!D89</f>
        <v>0</v>
      </c>
      <c r="E89" s="33">
        <f t="shared" si="6"/>
        <v>0</v>
      </c>
      <c r="F89" s="34">
        <f t="shared" si="7"/>
        <v>0</v>
      </c>
    </row>
    <row r="90" spans="1:6" s="46" customFormat="1" ht="26.25">
      <c r="A90" s="62" t="s">
        <v>85</v>
      </c>
      <c r="B90" s="52">
        <f>SUBoard!B90+SUBR!B90+SUNO!B90+SUSLA!B90+SULaw!B90+SUAg!B90</f>
        <v>1354889.5</v>
      </c>
      <c r="C90" s="52">
        <f>SUBoard!C90+SUBR!C90+SUNO!C90+SUSLA!C90+SULaw!C90+SUAg!C90</f>
        <v>907945</v>
      </c>
      <c r="D90" s="52">
        <f>SUBoard!D90+SUBR!D90+SUNO!D90+SUSLA!D90+SULaw!D90+SUAg!D90</f>
        <v>620181</v>
      </c>
      <c r="E90" s="52">
        <f t="shared" si="6"/>
        <v>-287764</v>
      </c>
      <c r="F90" s="45">
        <f t="shared" si="7"/>
        <v>-0.3169399027474131</v>
      </c>
    </row>
    <row r="91" spans="1:6" s="24" customFormat="1" ht="26.25">
      <c r="A91" s="48" t="s">
        <v>86</v>
      </c>
      <c r="B91" s="33">
        <f>SUBoard!B91+SUBR!B91+SUNO!B91+SUSLA!B91+SULaw!B91+SUAg!B91</f>
        <v>0</v>
      </c>
      <c r="C91" s="33">
        <f>SUBoard!C91+SUBR!C91+SUNO!C91+SUSLA!C91+SULaw!C91+SUAg!C91</f>
        <v>0</v>
      </c>
      <c r="D91" s="33">
        <f>SUBoard!D91+SUBR!D91+SUNO!D91+SUSLA!D91+SULaw!D91+SUAg!D91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85">
        <f>SUBoard!B92+SUBR!B92+SUNO!B92+SUSLA!B92+SULaw!B92+SUAg!B92+2</f>
        <v>137066925.48000002</v>
      </c>
      <c r="C92" s="85">
        <f>SUBoard!C92+SUBR!C92+SUNO!C92+SUSLA!C92+SULaw!C92+SUAg!C92</f>
        <v>138137800</v>
      </c>
      <c r="D92" s="85">
        <f>SUBoard!D92+SUBR!D92+SUNO!D92+SUSLA!D92+SULaw!D92+SUAg!D92</f>
        <v>138709286.94</v>
      </c>
      <c r="E92" s="68">
        <f t="shared" si="6"/>
        <v>571486.9399999976</v>
      </c>
      <c r="F92" s="69">
        <f t="shared" si="7"/>
        <v>0.004137078627283753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Height="1" fitToWidth="1" horizontalDpi="600" verticalDpi="600" orientation="portrait" scale="2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4" width="32.8515625" style="94" customWidth="1"/>
    <col min="5" max="5" width="31.421875" style="94" customWidth="1"/>
    <col min="6" max="6" width="25.57421875" style="95" customWidth="1"/>
    <col min="7" max="7" width="32.57421875" style="91" customWidth="1"/>
    <col min="8" max="8" width="25.140625" style="91" customWidth="1"/>
    <col min="9" max="16384" width="9.140625" style="91" customWidth="1"/>
  </cols>
  <sheetData>
    <row r="1" spans="1:7" s="92" customFormat="1" ht="44.25" customHeight="1">
      <c r="A1" s="7" t="s">
        <v>0</v>
      </c>
      <c r="B1" s="8"/>
      <c r="C1" s="8"/>
      <c r="D1" s="10" t="s">
        <v>1</v>
      </c>
      <c r="E1" s="224" t="s">
        <v>137</v>
      </c>
      <c r="F1" s="225"/>
      <c r="G1" s="225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2910717</v>
      </c>
      <c r="C8" s="33">
        <v>2910717</v>
      </c>
      <c r="D8" s="33">
        <v>2959185</v>
      </c>
      <c r="E8" s="33">
        <f aca="true" t="shared" si="0" ref="E8:E29">D8-C8</f>
        <v>48468</v>
      </c>
      <c r="F8" s="34">
        <f aca="true" t="shared" si="1" ref="F8:F29">IF(ISBLANK(E8),"  ",IF(C8&gt;0,E8/C8,IF(E8&gt;0,1,0)))</f>
        <v>0.016651567294243996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0</v>
      </c>
      <c r="C10" s="36">
        <v>0</v>
      </c>
      <c r="D10" s="36">
        <v>0</v>
      </c>
      <c r="E10" s="36">
        <f t="shared" si="0"/>
        <v>0</v>
      </c>
      <c r="F10" s="34">
        <f t="shared" si="1"/>
        <v>0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0</v>
      </c>
      <c r="C12" s="38">
        <v>0</v>
      </c>
      <c r="D12" s="38">
        <v>0</v>
      </c>
      <c r="E12" s="36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/>
      <c r="B28" s="38">
        <v>0</v>
      </c>
      <c r="C28" s="38">
        <v>0</v>
      </c>
      <c r="D28" s="38">
        <v>0</v>
      </c>
      <c r="E28" s="36">
        <f>D28-C28</f>
        <v>0</v>
      </c>
      <c r="F28" s="34">
        <f t="shared" si="1"/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2910717</v>
      </c>
      <c r="C35" s="44">
        <v>2910717</v>
      </c>
      <c r="D35" s="44">
        <v>2959185</v>
      </c>
      <c r="E35" s="44">
        <f>D35-C35</f>
        <v>48468</v>
      </c>
      <c r="F35" s="45">
        <f>IF(ISBLANK(E35),"  ",IF(C35&gt;0,E35/C35,IF(E35&gt;0,1,0)))</f>
        <v>0.016651567294243996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135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136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0</v>
      </c>
      <c r="C48" s="50">
        <v>0</v>
      </c>
      <c r="D48" s="50">
        <v>0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2910717</v>
      </c>
      <c r="C54" s="50">
        <v>2910717</v>
      </c>
      <c r="D54" s="50">
        <v>2959185</v>
      </c>
      <c r="E54" s="50">
        <f>D54-C54</f>
        <v>48468</v>
      </c>
      <c r="F54" s="45">
        <f>IF(ISBLANK(E54),"  ",IF(C54&gt;0,E54/C54,IF(E54&gt;0,1,0)))</f>
        <v>0.016651567294243996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102198.64</v>
      </c>
      <c r="C61" s="38">
        <v>116750</v>
      </c>
      <c r="D61" s="38">
        <v>109600</v>
      </c>
      <c r="E61" s="38">
        <f t="shared" si="4"/>
        <v>-7150</v>
      </c>
      <c r="F61" s="34">
        <f t="shared" si="5"/>
        <v>-0.061241970021413274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2808518.36</v>
      </c>
      <c r="C63" s="38">
        <v>2793967</v>
      </c>
      <c r="D63" s="38">
        <v>2849585</v>
      </c>
      <c r="E63" s="38">
        <f t="shared" si="4"/>
        <v>55618</v>
      </c>
      <c r="F63" s="34">
        <f t="shared" si="5"/>
        <v>0.019906462746338806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0</v>
      </c>
      <c r="C65" s="38">
        <v>0</v>
      </c>
      <c r="D65" s="38">
        <v>0</v>
      </c>
      <c r="E65" s="38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44">
        <v>2910717</v>
      </c>
      <c r="C66" s="44">
        <v>2910717</v>
      </c>
      <c r="D66" s="44">
        <v>2959185</v>
      </c>
      <c r="E66" s="44">
        <f t="shared" si="4"/>
        <v>48468</v>
      </c>
      <c r="F66" s="45">
        <f t="shared" si="5"/>
        <v>0.016651567294243996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2910717</v>
      </c>
      <c r="C71" s="61">
        <v>2910717</v>
      </c>
      <c r="D71" s="61">
        <v>2959185</v>
      </c>
      <c r="E71" s="61">
        <f t="shared" si="4"/>
        <v>48468</v>
      </c>
      <c r="F71" s="45">
        <f t="shared" si="5"/>
        <v>0.016651567294243996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1090624.8900000001</v>
      </c>
      <c r="C74" s="33">
        <v>1164972</v>
      </c>
      <c r="D74" s="33">
        <v>1329500</v>
      </c>
      <c r="E74" s="29">
        <f aca="true" t="shared" si="6" ref="E74:E92">D74-C74</f>
        <v>164528</v>
      </c>
      <c r="F74" s="34">
        <f aca="true" t="shared" si="7" ref="F74:F92">IF(ISBLANK(E74),"  ",IF(C74&gt;0,E74/C74,IF(E74&gt;0,1,0)))</f>
        <v>0.14122914542152087</v>
      </c>
    </row>
    <row r="75" spans="1:6" s="100" customFormat="1" ht="26.25">
      <c r="A75" s="39" t="s">
        <v>70</v>
      </c>
      <c r="B75" s="36">
        <v>78365.23</v>
      </c>
      <c r="C75" s="36">
        <v>52000</v>
      </c>
      <c r="D75" s="36">
        <v>52500</v>
      </c>
      <c r="E75" s="38">
        <f t="shared" si="6"/>
        <v>500</v>
      </c>
      <c r="F75" s="34">
        <f t="shared" si="7"/>
        <v>0.009615384615384616</v>
      </c>
    </row>
    <row r="76" spans="1:6" s="100" customFormat="1" ht="26.25">
      <c r="A76" s="39" t="s">
        <v>71</v>
      </c>
      <c r="B76" s="29">
        <v>440829.31</v>
      </c>
      <c r="C76" s="29">
        <v>618755</v>
      </c>
      <c r="D76" s="29">
        <v>648415</v>
      </c>
      <c r="E76" s="38">
        <f t="shared" si="6"/>
        <v>29660</v>
      </c>
      <c r="F76" s="34">
        <f t="shared" si="7"/>
        <v>0.047934966182091455</v>
      </c>
    </row>
    <row r="77" spans="1:6" s="102" customFormat="1" ht="26.25">
      <c r="A77" s="59" t="s">
        <v>72</v>
      </c>
      <c r="B77" s="61">
        <v>1609819.4300000002</v>
      </c>
      <c r="C77" s="61">
        <v>1835727</v>
      </c>
      <c r="D77" s="61">
        <v>2030415</v>
      </c>
      <c r="E77" s="44">
        <f t="shared" si="6"/>
        <v>194688</v>
      </c>
      <c r="F77" s="45">
        <f t="shared" si="7"/>
        <v>0.10605498530010181</v>
      </c>
    </row>
    <row r="78" spans="1:6" s="100" customFormat="1" ht="26.25">
      <c r="A78" s="39" t="s">
        <v>73</v>
      </c>
      <c r="B78" s="36">
        <v>83366.67</v>
      </c>
      <c r="C78" s="36">
        <v>174000</v>
      </c>
      <c r="D78" s="36">
        <v>142500</v>
      </c>
      <c r="E78" s="38">
        <f t="shared" si="6"/>
        <v>-31500</v>
      </c>
      <c r="F78" s="34">
        <f t="shared" si="7"/>
        <v>-0.1810344827586207</v>
      </c>
    </row>
    <row r="79" spans="1:6" s="100" customFormat="1" ht="26.25">
      <c r="A79" s="39" t="s">
        <v>74</v>
      </c>
      <c r="B79" s="33">
        <v>673832.88</v>
      </c>
      <c r="C79" s="33">
        <v>236663</v>
      </c>
      <c r="D79" s="33">
        <v>114500</v>
      </c>
      <c r="E79" s="38">
        <f t="shared" si="6"/>
        <v>-122163</v>
      </c>
      <c r="F79" s="34">
        <f t="shared" si="7"/>
        <v>-0.5161896874458618</v>
      </c>
    </row>
    <row r="80" spans="1:6" s="100" customFormat="1" ht="26.25">
      <c r="A80" s="39" t="s">
        <v>75</v>
      </c>
      <c r="B80" s="29">
        <v>40547.02</v>
      </c>
      <c r="C80" s="29">
        <v>68283</v>
      </c>
      <c r="D80" s="29">
        <v>76811</v>
      </c>
      <c r="E80" s="38">
        <f t="shared" si="6"/>
        <v>8528</v>
      </c>
      <c r="F80" s="34">
        <f t="shared" si="7"/>
        <v>0.12489199361480896</v>
      </c>
    </row>
    <row r="81" spans="1:6" s="102" customFormat="1" ht="26.25">
      <c r="A81" s="42" t="s">
        <v>76</v>
      </c>
      <c r="B81" s="61">
        <v>797746.5700000001</v>
      </c>
      <c r="C81" s="61">
        <v>478946</v>
      </c>
      <c r="D81" s="61">
        <v>333811</v>
      </c>
      <c r="E81" s="44">
        <f t="shared" si="6"/>
        <v>-145135</v>
      </c>
      <c r="F81" s="45">
        <f t="shared" si="7"/>
        <v>-0.3030299866790828</v>
      </c>
    </row>
    <row r="82" spans="1:6" s="100" customFormat="1" ht="26.25">
      <c r="A82" s="39" t="s">
        <v>77</v>
      </c>
      <c r="B82" s="29">
        <v>5500</v>
      </c>
      <c r="C82" s="29">
        <v>65500</v>
      </c>
      <c r="D82" s="29">
        <v>178000</v>
      </c>
      <c r="E82" s="38">
        <f t="shared" si="6"/>
        <v>112500</v>
      </c>
      <c r="F82" s="34">
        <f t="shared" si="7"/>
        <v>1.717557251908397</v>
      </c>
    </row>
    <row r="83" spans="1:6" s="100" customFormat="1" ht="26.25">
      <c r="A83" s="39" t="s">
        <v>78</v>
      </c>
      <c r="B83" s="38">
        <v>247</v>
      </c>
      <c r="C83" s="38">
        <v>300844</v>
      </c>
      <c r="D83" s="38">
        <v>306959</v>
      </c>
      <c r="E83" s="38">
        <f t="shared" si="6"/>
        <v>6115</v>
      </c>
      <c r="F83" s="34">
        <f t="shared" si="7"/>
        <v>0.02032614910053051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301585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307332</v>
      </c>
      <c r="C86" s="44">
        <v>366344</v>
      </c>
      <c r="D86" s="44">
        <v>484959</v>
      </c>
      <c r="E86" s="44">
        <f t="shared" si="6"/>
        <v>118615</v>
      </c>
      <c r="F86" s="45">
        <f t="shared" si="7"/>
        <v>0.3237803812809818</v>
      </c>
    </row>
    <row r="87" spans="1:6" s="100" customFormat="1" ht="26.25">
      <c r="A87" s="39" t="s">
        <v>82</v>
      </c>
      <c r="B87" s="38">
        <v>195819</v>
      </c>
      <c r="C87" s="38">
        <v>229700</v>
      </c>
      <c r="D87" s="38">
        <v>110000</v>
      </c>
      <c r="E87" s="38">
        <f t="shared" si="6"/>
        <v>-119700</v>
      </c>
      <c r="F87" s="34">
        <f t="shared" si="7"/>
        <v>-0.5211144971702221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195819</v>
      </c>
      <c r="C90" s="61">
        <v>229700</v>
      </c>
      <c r="D90" s="61">
        <v>110000</v>
      </c>
      <c r="E90" s="61">
        <f t="shared" si="6"/>
        <v>-119700</v>
      </c>
      <c r="F90" s="45">
        <f t="shared" si="7"/>
        <v>-0.5211144971702221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2910717</v>
      </c>
      <c r="C92" s="64">
        <v>2910717</v>
      </c>
      <c r="D92" s="64">
        <v>2959185</v>
      </c>
      <c r="E92" s="64">
        <f t="shared" si="6"/>
        <v>48468</v>
      </c>
      <c r="F92" s="65">
        <f t="shared" si="7"/>
        <v>0.016651567294243996</v>
      </c>
    </row>
    <row r="93" spans="1:8" s="102" customFormat="1" ht="26.25">
      <c r="A93" s="221"/>
      <c r="B93" s="222"/>
      <c r="C93" s="222"/>
      <c r="D93" s="222"/>
      <c r="E93" s="222"/>
      <c r="F93" s="223"/>
      <c r="G93" s="222"/>
      <c r="H93" s="223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02.00390625" style="91" customWidth="1"/>
    <col min="2" max="5" width="32.57421875" style="94" customWidth="1"/>
    <col min="6" max="6" width="32.57421875" style="95" customWidth="1"/>
    <col min="7" max="7" width="30.28125" style="91" customWidth="1"/>
    <col min="8" max="8" width="25.140625" style="91" customWidth="1"/>
    <col min="9" max="9" width="49.7109375" style="91" customWidth="1"/>
    <col min="10" max="16384" width="9.140625" style="91" customWidth="1"/>
  </cols>
  <sheetData>
    <row r="1" spans="1:8" s="92" customFormat="1" ht="45.75" customHeight="1">
      <c r="A1" s="7" t="s">
        <v>0</v>
      </c>
      <c r="B1" s="8"/>
      <c r="C1" s="193" t="s">
        <v>1</v>
      </c>
      <c r="D1" s="1" t="str">
        <f>'[1]Revenue'!B2</f>
        <v>Southern University and A&amp;M College </v>
      </c>
      <c r="E1" s="1"/>
      <c r="F1" s="1"/>
      <c r="G1" s="98"/>
      <c r="H1" s="97"/>
    </row>
    <row r="2" spans="1:8" s="92" customFormat="1" ht="45.75" customHeight="1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5.75" customHeight="1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9.25" customHeight="1">
      <c r="A6" s="28" t="s">
        <v>10</v>
      </c>
      <c r="B6" s="29"/>
      <c r="C6" s="29"/>
      <c r="D6" s="29"/>
      <c r="E6" s="29"/>
      <c r="F6" s="30"/>
    </row>
    <row r="7" spans="1:6" s="100" customFormat="1" ht="29.25" customHeight="1">
      <c r="A7" s="28" t="s">
        <v>11</v>
      </c>
      <c r="B7" s="29"/>
      <c r="C7" s="29"/>
      <c r="D7" s="29"/>
      <c r="E7" s="29"/>
      <c r="F7" s="31"/>
    </row>
    <row r="8" spans="1:6" s="100" customFormat="1" ht="29.25" customHeight="1">
      <c r="A8" s="32" t="s">
        <v>12</v>
      </c>
      <c r="B8" s="33">
        <v>20643836</v>
      </c>
      <c r="C8" s="33">
        <v>20643836</v>
      </c>
      <c r="D8" s="33">
        <v>19378311</v>
      </c>
      <c r="E8" s="33">
        <f aca="true" t="shared" si="0" ref="E8:E29">D8-C8</f>
        <v>-1265525</v>
      </c>
      <c r="F8" s="185">
        <f aca="true" t="shared" si="1" ref="F8:F29">IF(ISBLANK(E8),"  ",IF(C8&gt;0,E8/C8,IF(E8&gt;0,1,0)))</f>
        <v>-0.061302802444274405</v>
      </c>
    </row>
    <row r="9" spans="1:6" s="100" customFormat="1" ht="29.25" customHeight="1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185">
        <f t="shared" si="1"/>
        <v>0</v>
      </c>
    </row>
    <row r="10" spans="1:6" s="100" customFormat="1" ht="29.25" customHeight="1">
      <c r="A10" s="35" t="s">
        <v>14</v>
      </c>
      <c r="B10" s="36">
        <v>1701962.94</v>
      </c>
      <c r="C10" s="36">
        <v>1961409</v>
      </c>
      <c r="D10" s="36">
        <v>1902262</v>
      </c>
      <c r="E10" s="36">
        <f t="shared" si="0"/>
        <v>-59147</v>
      </c>
      <c r="F10" s="190">
        <f t="shared" si="1"/>
        <v>-0.030155362802964603</v>
      </c>
    </row>
    <row r="11" spans="1:6" s="100" customFormat="1" ht="29.25" customHeight="1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185">
        <f t="shared" si="1"/>
        <v>0</v>
      </c>
    </row>
    <row r="12" spans="1:6" s="100" customFormat="1" ht="29.25" customHeight="1">
      <c r="A12" s="39" t="s">
        <v>16</v>
      </c>
      <c r="B12" s="38">
        <v>1701962.94</v>
      </c>
      <c r="C12" s="38">
        <v>1961409</v>
      </c>
      <c r="D12" s="38">
        <v>1902262</v>
      </c>
      <c r="E12" s="36">
        <f t="shared" si="0"/>
        <v>-59147</v>
      </c>
      <c r="F12" s="185">
        <f t="shared" si="1"/>
        <v>-0.030155362802964603</v>
      </c>
    </row>
    <row r="13" spans="1:6" s="100" customFormat="1" ht="29.25" customHeight="1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185">
        <f t="shared" si="1"/>
        <v>0</v>
      </c>
    </row>
    <row r="14" spans="1:6" s="100" customFormat="1" ht="29.25" customHeight="1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185">
        <f t="shared" si="1"/>
        <v>0</v>
      </c>
    </row>
    <row r="15" spans="1:6" s="100" customFormat="1" ht="29.25" customHeight="1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185">
        <f t="shared" si="1"/>
        <v>0</v>
      </c>
    </row>
    <row r="16" spans="1:6" s="100" customFormat="1" ht="29.25" customHeight="1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185">
        <f t="shared" si="1"/>
        <v>0</v>
      </c>
    </row>
    <row r="17" spans="1:6" s="100" customFormat="1" ht="29.25" customHeight="1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185">
        <f t="shared" si="1"/>
        <v>0</v>
      </c>
    </row>
    <row r="18" spans="1:6" s="100" customFormat="1" ht="29.25" customHeight="1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185">
        <f t="shared" si="1"/>
        <v>0</v>
      </c>
    </row>
    <row r="19" spans="1:6" s="100" customFormat="1" ht="29.25" customHeight="1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185">
        <f t="shared" si="1"/>
        <v>0</v>
      </c>
    </row>
    <row r="20" spans="1:6" s="100" customFormat="1" ht="29.25" customHeight="1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185">
        <f t="shared" si="1"/>
        <v>0</v>
      </c>
    </row>
    <row r="21" spans="1:6" s="100" customFormat="1" ht="29.25" customHeight="1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185">
        <f t="shared" si="1"/>
        <v>0</v>
      </c>
    </row>
    <row r="22" spans="1:6" s="100" customFormat="1" ht="29.25" customHeight="1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185">
        <f t="shared" si="1"/>
        <v>0</v>
      </c>
    </row>
    <row r="23" spans="1:6" s="100" customFormat="1" ht="29.25" customHeight="1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185">
        <f t="shared" si="1"/>
        <v>0</v>
      </c>
    </row>
    <row r="24" spans="1:6" s="100" customFormat="1" ht="29.25" customHeight="1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185">
        <f t="shared" si="1"/>
        <v>0</v>
      </c>
    </row>
    <row r="25" spans="1:6" s="100" customFormat="1" ht="29.25" customHeight="1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185">
        <f t="shared" si="1"/>
        <v>0</v>
      </c>
    </row>
    <row r="26" spans="1:6" s="100" customFormat="1" ht="29.25" customHeight="1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185">
        <f t="shared" si="1"/>
        <v>0</v>
      </c>
    </row>
    <row r="27" spans="1:6" s="100" customFormat="1" ht="29.25" customHeight="1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185">
        <f t="shared" si="1"/>
        <v>0</v>
      </c>
    </row>
    <row r="28" spans="1:6" s="100" customFormat="1" ht="29.25" customHeight="1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185">
        <f>IF(ISBLANK(E28),"  ",IF(C28&gt;0,E28/C28,IF(E28&gt;0,1,0)))</f>
        <v>0</v>
      </c>
    </row>
    <row r="29" spans="1:6" s="100" customFormat="1" ht="29.25" customHeight="1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190">
        <f t="shared" si="1"/>
        <v>0</v>
      </c>
    </row>
    <row r="30" spans="1:6" s="100" customFormat="1" ht="29.25" customHeight="1">
      <c r="A30" s="41" t="s">
        <v>33</v>
      </c>
      <c r="B30" s="38"/>
      <c r="C30" s="38"/>
      <c r="D30" s="38"/>
      <c r="E30" s="38"/>
      <c r="F30" s="186"/>
    </row>
    <row r="31" spans="1:6" s="100" customFormat="1" ht="29.25" customHeight="1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185">
        <f>IF(ISBLANK(E31),"  ",IF(C31&gt;0,E31/C31,IF(E31&gt;0,1,0)))</f>
        <v>0</v>
      </c>
    </row>
    <row r="32" spans="1:6" s="100" customFormat="1" ht="29.25" customHeight="1">
      <c r="A32" s="42" t="s">
        <v>35</v>
      </c>
      <c r="B32" s="38"/>
      <c r="C32" s="38"/>
      <c r="D32" s="38"/>
      <c r="E32" s="38"/>
      <c r="F32" s="186"/>
    </row>
    <row r="33" spans="1:6" s="100" customFormat="1" ht="29.25" customHeight="1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185">
        <f>IF(ISBLANK(E33),"  ",IF(C33&gt;0,E33/C33,IF(E33&gt;0,1,0)))</f>
        <v>0</v>
      </c>
    </row>
    <row r="34" spans="1:6" s="100" customFormat="1" ht="29.25" customHeight="1">
      <c r="A34" s="39" t="s">
        <v>36</v>
      </c>
      <c r="B34" s="38"/>
      <c r="C34" s="38"/>
      <c r="D34" s="38"/>
      <c r="E34" s="36"/>
      <c r="F34" s="185" t="str">
        <f>IF(ISBLANK(E34),"  ",IF(C34&gt;0,E34/C34,IF(E34&gt;0,1,0)))</f>
        <v>  </v>
      </c>
    </row>
    <row r="35" spans="1:6" s="102" customFormat="1" ht="29.25" customHeight="1">
      <c r="A35" s="43" t="s">
        <v>38</v>
      </c>
      <c r="B35" s="44">
        <v>22345798.94</v>
      </c>
      <c r="C35" s="44">
        <v>22605245</v>
      </c>
      <c r="D35" s="44">
        <v>21280573</v>
      </c>
      <c r="E35" s="44">
        <f>D35-C35</f>
        <v>-1324672</v>
      </c>
      <c r="F35" s="191">
        <f>IF(ISBLANK(E35),"  ",IF(C35&gt;0,E35/C35,IF(E35&gt;0,1,0)))</f>
        <v>-0.05860020539480992</v>
      </c>
    </row>
    <row r="36" spans="1:6" s="100" customFormat="1" ht="29.25" customHeight="1">
      <c r="A36" s="41" t="s">
        <v>39</v>
      </c>
      <c r="B36" s="38"/>
      <c r="C36" s="38"/>
      <c r="D36" s="38"/>
      <c r="E36" s="38"/>
      <c r="F36" s="186"/>
    </row>
    <row r="37" spans="1:6" s="100" customFormat="1" ht="29.25" customHeight="1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185">
        <f aca="true" t="shared" si="3" ref="F37:F42">IF(ISBLANK(E37),"  ",IF(C37&gt;0,E37/C37,IF(E37&gt;0,1,0)))</f>
        <v>0</v>
      </c>
    </row>
    <row r="38" spans="1:6" s="100" customFormat="1" ht="29.25" customHeight="1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185">
        <f t="shared" si="3"/>
        <v>0</v>
      </c>
    </row>
    <row r="39" spans="1:6" s="100" customFormat="1" ht="29.25" customHeight="1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185">
        <f t="shared" si="3"/>
        <v>0</v>
      </c>
    </row>
    <row r="40" spans="1:6" s="100" customFormat="1" ht="29.25" customHeight="1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185">
        <f t="shared" si="3"/>
        <v>0</v>
      </c>
    </row>
    <row r="41" spans="1:6" s="100" customFormat="1" ht="29.25" customHeight="1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185">
        <f t="shared" si="3"/>
        <v>0</v>
      </c>
    </row>
    <row r="42" spans="1:12" s="102" customFormat="1" ht="29.25" customHeight="1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187">
        <f t="shared" si="3"/>
        <v>0</v>
      </c>
      <c r="L42" s="102" t="s">
        <v>46</v>
      </c>
    </row>
    <row r="43" spans="1:6" s="100" customFormat="1" ht="29.25" customHeight="1">
      <c r="A43" s="39" t="s">
        <v>46</v>
      </c>
      <c r="B43" s="38"/>
      <c r="C43" s="38"/>
      <c r="D43" s="38"/>
      <c r="E43" s="38"/>
      <c r="F43" s="186"/>
    </row>
    <row r="44" spans="1:6" s="102" customFormat="1" ht="29.25" customHeight="1">
      <c r="A44" s="51" t="s">
        <v>47</v>
      </c>
      <c r="B44" s="52">
        <v>3684977</v>
      </c>
      <c r="C44" s="52">
        <v>3684977</v>
      </c>
      <c r="D44" s="52">
        <v>3411787</v>
      </c>
      <c r="E44" s="52">
        <f>D44-C44</f>
        <v>-273190</v>
      </c>
      <c r="F44" s="187">
        <f>IF(ISBLANK(E44),"  ",IF(C44&gt;0,E44/C44,IF(E44&gt;0,1,0)))</f>
        <v>-0.07413614793253798</v>
      </c>
    </row>
    <row r="45" spans="1:6" s="100" customFormat="1" ht="29.25" customHeight="1">
      <c r="A45" s="39" t="s">
        <v>46</v>
      </c>
      <c r="B45" s="38"/>
      <c r="C45" s="38"/>
      <c r="D45" s="38"/>
      <c r="E45" s="38"/>
      <c r="F45" s="186"/>
    </row>
    <row r="46" spans="1:6" s="102" customFormat="1" ht="29.25" customHeight="1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187">
        <f>IF(ISBLANK(E46),"  ",IF(C46&gt;0,E46/C46,IF(E46&gt;0,1,0)))</f>
        <v>0</v>
      </c>
    </row>
    <row r="47" spans="1:6" s="100" customFormat="1" ht="29.25" customHeight="1">
      <c r="A47" s="39" t="s">
        <v>46</v>
      </c>
      <c r="B47" s="38"/>
      <c r="C47" s="38"/>
      <c r="D47" s="38"/>
      <c r="E47" s="38"/>
      <c r="F47" s="186"/>
    </row>
    <row r="48" spans="1:6" s="102" customFormat="1" ht="29.25" customHeight="1">
      <c r="A48" s="41" t="s">
        <v>49</v>
      </c>
      <c r="B48" s="50">
        <v>50435046.370000005</v>
      </c>
      <c r="C48" s="50">
        <v>50599963</v>
      </c>
      <c r="D48" s="50">
        <v>52689631</v>
      </c>
      <c r="E48" s="50">
        <f>D48-C48</f>
        <v>2089668</v>
      </c>
      <c r="F48" s="187">
        <f>IF(ISBLANK(E48),"  ",IF(C48&gt;0,E48/C48,IF(E48&gt;0,1,0)))</f>
        <v>0.041297816759273125</v>
      </c>
    </row>
    <row r="49" spans="1:6" s="100" customFormat="1" ht="29.25" customHeight="1">
      <c r="A49" s="39" t="s">
        <v>46</v>
      </c>
      <c r="B49" s="38"/>
      <c r="C49" s="38"/>
      <c r="D49" s="38"/>
      <c r="E49" s="38"/>
      <c r="F49" s="186"/>
    </row>
    <row r="50" spans="1:6" s="102" customFormat="1" ht="29.25" customHeight="1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187">
        <f>IF(ISBLANK(E50),"  ",IF(C50&gt;0,E50/C50,IF(E50&gt;0,1,0)))</f>
        <v>0</v>
      </c>
    </row>
    <row r="51" spans="1:6" s="100" customFormat="1" ht="29.25" customHeight="1">
      <c r="A51" s="41"/>
      <c r="B51" s="29"/>
      <c r="C51" s="29"/>
      <c r="D51" s="29"/>
      <c r="E51" s="29"/>
      <c r="F51" s="188"/>
    </row>
    <row r="52" spans="1:6" s="102" customFormat="1" ht="29.25" customHeight="1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187">
        <f>IF(ISBLANK(E52),"  ",IF(C52&gt;0,E52/C52,IF(E52&gt;0,1,0)))</f>
        <v>0</v>
      </c>
    </row>
    <row r="53" spans="1:6" s="100" customFormat="1" ht="29.25" customHeight="1">
      <c r="A53" s="39"/>
      <c r="B53" s="38"/>
      <c r="C53" s="38"/>
      <c r="D53" s="38"/>
      <c r="E53" s="38"/>
      <c r="F53" s="186"/>
    </row>
    <row r="54" spans="1:6" s="102" customFormat="1" ht="29.25" customHeight="1">
      <c r="A54" s="56" t="s">
        <v>52</v>
      </c>
      <c r="B54" s="50">
        <v>76465822.31</v>
      </c>
      <c r="C54" s="50">
        <v>76890185</v>
      </c>
      <c r="D54" s="50">
        <v>77381991</v>
      </c>
      <c r="E54" s="50">
        <f>D54-C54</f>
        <v>491806</v>
      </c>
      <c r="F54" s="191">
        <f>IF(ISBLANK(E54),"  ",IF(C54&gt;0,E54/C54,IF(E54&gt;0,1,0)))</f>
        <v>0.0063962129886929</v>
      </c>
    </row>
    <row r="55" spans="1:6" s="100" customFormat="1" ht="29.25" customHeight="1">
      <c r="A55" s="57"/>
      <c r="B55" s="38"/>
      <c r="C55" s="38"/>
      <c r="D55" s="38"/>
      <c r="E55" s="38"/>
      <c r="F55" s="186" t="s">
        <v>46</v>
      </c>
    </row>
    <row r="56" spans="1:6" s="100" customFormat="1" ht="29.25" customHeight="1">
      <c r="A56" s="58"/>
      <c r="B56" s="29"/>
      <c r="C56" s="29"/>
      <c r="D56" s="29"/>
      <c r="E56" s="29"/>
      <c r="F56" s="189" t="s">
        <v>46</v>
      </c>
    </row>
    <row r="57" spans="1:6" s="100" customFormat="1" ht="29.25" customHeight="1">
      <c r="A57" s="56" t="s">
        <v>53</v>
      </c>
      <c r="B57" s="29"/>
      <c r="C57" s="29"/>
      <c r="D57" s="29"/>
      <c r="E57" s="29"/>
      <c r="F57" s="189"/>
    </row>
    <row r="58" spans="1:6" s="100" customFormat="1" ht="29.25" customHeight="1">
      <c r="A58" s="37" t="s">
        <v>54</v>
      </c>
      <c r="B58" s="29">
        <v>31190452.750000004</v>
      </c>
      <c r="C58" s="29">
        <v>32421359</v>
      </c>
      <c r="D58" s="29">
        <v>31827612</v>
      </c>
      <c r="E58" s="29">
        <f aca="true" t="shared" si="4" ref="E58:E71">D58-C58</f>
        <v>-593747</v>
      </c>
      <c r="F58" s="190">
        <f aca="true" t="shared" si="5" ref="F58:F71">IF(ISBLANK(E58),"  ",IF(C58&gt;0,E58/C58,IF(E58&gt;0,1,0)))</f>
        <v>-0.018313451943825058</v>
      </c>
    </row>
    <row r="59" spans="1:6" s="100" customFormat="1" ht="29.25" customHeight="1">
      <c r="A59" s="39" t="s">
        <v>55</v>
      </c>
      <c r="B59" s="38">
        <v>360735.77</v>
      </c>
      <c r="C59" s="38">
        <v>369378</v>
      </c>
      <c r="D59" s="38">
        <v>380193</v>
      </c>
      <c r="E59" s="38">
        <f t="shared" si="4"/>
        <v>10815</v>
      </c>
      <c r="F59" s="185">
        <f t="shared" si="5"/>
        <v>0.029278950018680052</v>
      </c>
    </row>
    <row r="60" spans="1:6" s="100" customFormat="1" ht="29.25" customHeight="1">
      <c r="A60" s="39" t="s">
        <v>56</v>
      </c>
      <c r="B60" s="38">
        <v>295022.5</v>
      </c>
      <c r="C60" s="38">
        <v>336856</v>
      </c>
      <c r="D60" s="38">
        <v>351075</v>
      </c>
      <c r="E60" s="38">
        <f t="shared" si="4"/>
        <v>14219</v>
      </c>
      <c r="F60" s="185">
        <f t="shared" si="5"/>
        <v>0.042210915049754195</v>
      </c>
    </row>
    <row r="61" spans="1:6" s="100" customFormat="1" ht="29.25" customHeight="1">
      <c r="A61" s="39" t="s">
        <v>57</v>
      </c>
      <c r="B61" s="38">
        <v>10165113.669999998</v>
      </c>
      <c r="C61" s="38">
        <v>9879316</v>
      </c>
      <c r="D61" s="38">
        <v>10494359</v>
      </c>
      <c r="E61" s="38">
        <f t="shared" si="4"/>
        <v>615043</v>
      </c>
      <c r="F61" s="190">
        <f t="shared" si="5"/>
        <v>0.06225562579433637</v>
      </c>
    </row>
    <row r="62" spans="1:6" s="100" customFormat="1" ht="29.25" customHeight="1">
      <c r="A62" s="39" t="s">
        <v>58</v>
      </c>
      <c r="B62" s="38">
        <v>2423811.5099999993</v>
      </c>
      <c r="C62" s="38">
        <v>2797864</v>
      </c>
      <c r="D62" s="38">
        <v>2824842</v>
      </c>
      <c r="E62" s="38">
        <f t="shared" si="4"/>
        <v>26978</v>
      </c>
      <c r="F62" s="190">
        <f t="shared" si="5"/>
        <v>0.009642355739950191</v>
      </c>
    </row>
    <row r="63" spans="1:6" s="100" customFormat="1" ht="29.25" customHeight="1">
      <c r="A63" s="39" t="s">
        <v>59</v>
      </c>
      <c r="B63" s="38">
        <v>9337902.93</v>
      </c>
      <c r="C63" s="38">
        <v>7869290</v>
      </c>
      <c r="D63" s="38">
        <v>8981462</v>
      </c>
      <c r="E63" s="38">
        <f t="shared" si="4"/>
        <v>1112172</v>
      </c>
      <c r="F63" s="190">
        <f t="shared" si="5"/>
        <v>0.14133066642606892</v>
      </c>
    </row>
    <row r="64" spans="1:6" s="100" customFormat="1" ht="29.25" customHeight="1">
      <c r="A64" s="39" t="s">
        <v>60</v>
      </c>
      <c r="B64" s="38">
        <v>5452002.06</v>
      </c>
      <c r="C64" s="38">
        <v>5484869</v>
      </c>
      <c r="D64" s="38">
        <v>5484869</v>
      </c>
      <c r="E64" s="38">
        <f t="shared" si="4"/>
        <v>0</v>
      </c>
      <c r="F64" s="185">
        <f t="shared" si="5"/>
        <v>0</v>
      </c>
    </row>
    <row r="65" spans="1:6" s="100" customFormat="1" ht="29.25" customHeight="1">
      <c r="A65" s="39" t="s">
        <v>61</v>
      </c>
      <c r="B65" s="38">
        <v>11484845.16</v>
      </c>
      <c r="C65" s="38">
        <v>11723136</v>
      </c>
      <c r="D65" s="38">
        <v>11368831</v>
      </c>
      <c r="E65" s="38">
        <f t="shared" si="4"/>
        <v>-354305</v>
      </c>
      <c r="F65" s="190">
        <f t="shared" si="5"/>
        <v>-0.030222715150621814</v>
      </c>
    </row>
    <row r="66" spans="1:9" s="102" customFormat="1" ht="29.25" customHeight="1">
      <c r="A66" s="59" t="s">
        <v>62</v>
      </c>
      <c r="B66" s="44">
        <v>70709886.35</v>
      </c>
      <c r="C66" s="44">
        <v>70882068</v>
      </c>
      <c r="D66" s="44">
        <v>71713243</v>
      </c>
      <c r="E66" s="44">
        <f t="shared" si="4"/>
        <v>831175</v>
      </c>
      <c r="F66" s="191">
        <f t="shared" si="5"/>
        <v>0.011726167470170312</v>
      </c>
      <c r="G66" s="103"/>
      <c r="H66" s="103"/>
      <c r="I66" s="103"/>
    </row>
    <row r="67" spans="1:6" s="100" customFormat="1" ht="29.25" customHeight="1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185">
        <f t="shared" si="5"/>
        <v>0</v>
      </c>
    </row>
    <row r="68" spans="1:6" s="100" customFormat="1" ht="29.25" customHeight="1">
      <c r="A68" s="39" t="s">
        <v>64</v>
      </c>
      <c r="B68" s="38">
        <v>3381094.96</v>
      </c>
      <c r="C68" s="38">
        <v>3633276</v>
      </c>
      <c r="D68" s="38">
        <v>3293907</v>
      </c>
      <c r="E68" s="38">
        <f t="shared" si="4"/>
        <v>-339369</v>
      </c>
      <c r="F68" s="190">
        <f t="shared" si="5"/>
        <v>-0.09340578585276758</v>
      </c>
    </row>
    <row r="69" spans="1:6" s="100" customFormat="1" ht="29.25" customHeight="1">
      <c r="A69" s="39" t="s">
        <v>65</v>
      </c>
      <c r="B69" s="38">
        <v>2374841</v>
      </c>
      <c r="C69" s="38">
        <v>2374841</v>
      </c>
      <c r="D69" s="38">
        <v>2374841</v>
      </c>
      <c r="E69" s="38">
        <f t="shared" si="4"/>
        <v>0</v>
      </c>
      <c r="F69" s="190">
        <f t="shared" si="5"/>
        <v>0</v>
      </c>
    </row>
    <row r="70" spans="1:6" s="100" customFormat="1" ht="29.25" customHeight="1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185">
        <f t="shared" si="5"/>
        <v>0</v>
      </c>
    </row>
    <row r="71" spans="1:9" s="102" customFormat="1" ht="29.25" customHeight="1">
      <c r="A71" s="60" t="s">
        <v>67</v>
      </c>
      <c r="B71" s="61">
        <v>76465822.30999999</v>
      </c>
      <c r="C71" s="61">
        <v>76890185</v>
      </c>
      <c r="D71" s="61">
        <v>77381991</v>
      </c>
      <c r="E71" s="61">
        <f t="shared" si="4"/>
        <v>491806</v>
      </c>
      <c r="F71" s="191">
        <f t="shared" si="5"/>
        <v>0.0063962129886929</v>
      </c>
      <c r="G71" s="103"/>
      <c r="H71" s="103"/>
      <c r="I71" s="103"/>
    </row>
    <row r="72" spans="1:6" s="100" customFormat="1" ht="29.25" customHeight="1">
      <c r="A72" s="58"/>
      <c r="B72" s="29"/>
      <c r="C72" s="29"/>
      <c r="D72" s="29"/>
      <c r="E72" s="29"/>
      <c r="F72" s="189"/>
    </row>
    <row r="73" spans="1:6" s="100" customFormat="1" ht="29.25" customHeight="1">
      <c r="A73" s="56" t="s">
        <v>68</v>
      </c>
      <c r="B73" s="29"/>
      <c r="C73" s="29"/>
      <c r="D73" s="29"/>
      <c r="E73" s="29"/>
      <c r="F73" s="189"/>
    </row>
    <row r="74" spans="1:6" s="100" customFormat="1" ht="29.25" customHeight="1">
      <c r="A74" s="37" t="s">
        <v>69</v>
      </c>
      <c r="B74" s="33">
        <v>36152297.49</v>
      </c>
      <c r="C74" s="33">
        <v>36305482</v>
      </c>
      <c r="D74" s="33">
        <v>37167030</v>
      </c>
      <c r="E74" s="29">
        <f aca="true" t="shared" si="6" ref="E74:E92">D74-C74</f>
        <v>861548</v>
      </c>
      <c r="F74" s="190">
        <f aca="true" t="shared" si="7" ref="F74:F92">IF(ISBLANK(E74),"  ",IF(C74&gt;0,E74/C74,IF(E74&gt;0,1,0)))</f>
        <v>0.023730520916923785</v>
      </c>
    </row>
    <row r="75" spans="1:6" s="100" customFormat="1" ht="29.25" customHeight="1">
      <c r="A75" s="39" t="s">
        <v>70</v>
      </c>
      <c r="B75" s="36">
        <v>176681.22</v>
      </c>
      <c r="C75" s="36">
        <v>213477</v>
      </c>
      <c r="D75" s="36">
        <v>213477</v>
      </c>
      <c r="E75" s="38">
        <f t="shared" si="6"/>
        <v>0</v>
      </c>
      <c r="F75" s="190">
        <f t="shared" si="7"/>
        <v>0</v>
      </c>
    </row>
    <row r="76" spans="1:6" s="100" customFormat="1" ht="29.25" customHeight="1">
      <c r="A76" s="39" t="s">
        <v>71</v>
      </c>
      <c r="B76" s="29">
        <v>16246296.34</v>
      </c>
      <c r="C76" s="29">
        <v>17189669</v>
      </c>
      <c r="D76" s="29">
        <v>17693096</v>
      </c>
      <c r="E76" s="38">
        <f t="shared" si="6"/>
        <v>503427</v>
      </c>
      <c r="F76" s="185">
        <f t="shared" si="7"/>
        <v>0.029286602319102246</v>
      </c>
    </row>
    <row r="77" spans="1:9" s="102" customFormat="1" ht="29.25" customHeight="1">
      <c r="A77" s="59" t="s">
        <v>72</v>
      </c>
      <c r="B77" s="61">
        <v>52575275.05</v>
      </c>
      <c r="C77" s="61">
        <v>53708628</v>
      </c>
      <c r="D77" s="61">
        <v>55073603</v>
      </c>
      <c r="E77" s="44">
        <f t="shared" si="6"/>
        <v>1364975</v>
      </c>
      <c r="F77" s="191">
        <f t="shared" si="7"/>
        <v>0.02541444551516006</v>
      </c>
      <c r="G77" s="103"/>
      <c r="H77" s="103"/>
      <c r="I77" s="103"/>
    </row>
    <row r="78" spans="1:6" s="100" customFormat="1" ht="29.25" customHeight="1">
      <c r="A78" s="39" t="s">
        <v>73</v>
      </c>
      <c r="B78" s="36">
        <v>193553.24</v>
      </c>
      <c r="C78" s="36">
        <v>227000</v>
      </c>
      <c r="D78" s="36">
        <v>230000</v>
      </c>
      <c r="E78" s="38">
        <f t="shared" si="6"/>
        <v>3000</v>
      </c>
      <c r="F78" s="185">
        <f t="shared" si="7"/>
        <v>0.013215859030837005</v>
      </c>
    </row>
    <row r="79" spans="1:6" s="100" customFormat="1" ht="29.25" customHeight="1">
      <c r="A79" s="39" t="s">
        <v>74</v>
      </c>
      <c r="B79" s="33">
        <v>8072445.7</v>
      </c>
      <c r="C79" s="33">
        <v>8145724</v>
      </c>
      <c r="D79" s="33">
        <v>7846728</v>
      </c>
      <c r="E79" s="38">
        <f t="shared" si="6"/>
        <v>-298996</v>
      </c>
      <c r="F79" s="190">
        <f t="shared" si="7"/>
        <v>-0.036705883970534724</v>
      </c>
    </row>
    <row r="80" spans="1:6" s="100" customFormat="1" ht="29.25" customHeight="1">
      <c r="A80" s="39" t="s">
        <v>75</v>
      </c>
      <c r="B80" s="29">
        <v>846687.64</v>
      </c>
      <c r="C80" s="29">
        <v>901561</v>
      </c>
      <c r="D80" s="29">
        <v>909661</v>
      </c>
      <c r="E80" s="38">
        <f t="shared" si="6"/>
        <v>8100</v>
      </c>
      <c r="F80" s="190">
        <f t="shared" si="7"/>
        <v>0.008984417027799561</v>
      </c>
    </row>
    <row r="81" spans="1:9" s="102" customFormat="1" ht="29.25" customHeight="1">
      <c r="A81" s="42" t="s">
        <v>76</v>
      </c>
      <c r="B81" s="61">
        <v>9112686.58</v>
      </c>
      <c r="C81" s="61">
        <v>9274285</v>
      </c>
      <c r="D81" s="61">
        <v>8986389</v>
      </c>
      <c r="E81" s="44">
        <f t="shared" si="6"/>
        <v>-287896</v>
      </c>
      <c r="F81" s="191">
        <f t="shared" si="7"/>
        <v>-0.031042393025446167</v>
      </c>
      <c r="G81" s="103"/>
      <c r="H81" s="103"/>
      <c r="I81" s="103"/>
    </row>
    <row r="82" spans="1:6" s="100" customFormat="1" ht="29.25" customHeight="1">
      <c r="A82" s="39" t="s">
        <v>77</v>
      </c>
      <c r="B82" s="29">
        <v>1492663.84</v>
      </c>
      <c r="C82" s="29">
        <v>1117775</v>
      </c>
      <c r="D82" s="29">
        <v>886871</v>
      </c>
      <c r="E82" s="38">
        <f t="shared" si="6"/>
        <v>-230904</v>
      </c>
      <c r="F82" s="190">
        <f t="shared" si="7"/>
        <v>-0.20657466842611438</v>
      </c>
    </row>
    <row r="83" spans="1:6" s="100" customFormat="1" ht="29.25" customHeight="1">
      <c r="A83" s="39" t="s">
        <v>78</v>
      </c>
      <c r="B83" s="38">
        <v>9572299.43</v>
      </c>
      <c r="C83" s="38">
        <v>8975040</v>
      </c>
      <c r="D83" s="38">
        <v>8960040</v>
      </c>
      <c r="E83" s="38">
        <f t="shared" si="6"/>
        <v>-15000</v>
      </c>
      <c r="F83" s="190">
        <f t="shared" si="7"/>
        <v>-0.0016713017435019788</v>
      </c>
    </row>
    <row r="84" spans="1:6" s="100" customFormat="1" ht="29.25" customHeight="1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185">
        <f t="shared" si="7"/>
        <v>0</v>
      </c>
    </row>
    <row r="85" spans="1:6" s="100" customFormat="1" ht="29.25" customHeight="1">
      <c r="A85" s="39" t="s">
        <v>80</v>
      </c>
      <c r="B85" s="38">
        <v>3381094.96</v>
      </c>
      <c r="C85" s="38">
        <v>3633276</v>
      </c>
      <c r="D85" s="38">
        <v>3293907</v>
      </c>
      <c r="E85" s="38">
        <f t="shared" si="6"/>
        <v>-339369</v>
      </c>
      <c r="F85" s="190">
        <f t="shared" si="7"/>
        <v>-0.09340578585276758</v>
      </c>
    </row>
    <row r="86" spans="1:9" s="102" customFormat="1" ht="29.25" customHeight="1">
      <c r="A86" s="42" t="s">
        <v>81</v>
      </c>
      <c r="B86" s="44">
        <v>14446058.23</v>
      </c>
      <c r="C86" s="44">
        <v>13726091</v>
      </c>
      <c r="D86" s="44">
        <v>13140818</v>
      </c>
      <c r="E86" s="44">
        <f t="shared" si="6"/>
        <v>-585273</v>
      </c>
      <c r="F86" s="191">
        <f t="shared" si="7"/>
        <v>-0.04263945212078224</v>
      </c>
      <c r="G86" s="103"/>
      <c r="H86" s="103"/>
      <c r="I86" s="103"/>
    </row>
    <row r="87" spans="1:6" s="100" customFormat="1" ht="29.25" customHeight="1">
      <c r="A87" s="39" t="s">
        <v>82</v>
      </c>
      <c r="B87" s="38">
        <v>198317.52000000002</v>
      </c>
      <c r="C87" s="38">
        <v>43532</v>
      </c>
      <c r="D87" s="38">
        <v>43532</v>
      </c>
      <c r="E87" s="38">
        <f t="shared" si="6"/>
        <v>0</v>
      </c>
      <c r="F87" s="185">
        <f t="shared" si="7"/>
        <v>0</v>
      </c>
    </row>
    <row r="88" spans="1:6" s="100" customFormat="1" ht="29.25" customHeight="1">
      <c r="A88" s="39" t="s">
        <v>83</v>
      </c>
      <c r="B88" s="38">
        <v>133484.93</v>
      </c>
      <c r="C88" s="38">
        <v>137649</v>
      </c>
      <c r="D88" s="38">
        <v>137649</v>
      </c>
      <c r="E88" s="38">
        <f t="shared" si="6"/>
        <v>0</v>
      </c>
      <c r="F88" s="185">
        <f t="shared" si="7"/>
        <v>0</v>
      </c>
    </row>
    <row r="89" spans="1:6" s="100" customFormat="1" ht="29.25" customHeight="1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185">
        <f t="shared" si="7"/>
        <v>0</v>
      </c>
    </row>
    <row r="90" spans="1:9" s="102" customFormat="1" ht="29.25" customHeight="1">
      <c r="A90" s="62" t="s">
        <v>85</v>
      </c>
      <c r="B90" s="61">
        <v>331802.45</v>
      </c>
      <c r="C90" s="61">
        <v>181181</v>
      </c>
      <c r="D90" s="61">
        <v>181181</v>
      </c>
      <c r="E90" s="61">
        <f t="shared" si="6"/>
        <v>0</v>
      </c>
      <c r="F90" s="187">
        <f t="shared" si="7"/>
        <v>0</v>
      </c>
      <c r="G90" s="103"/>
      <c r="H90" s="103"/>
      <c r="I90" s="103"/>
    </row>
    <row r="91" spans="1:6" s="100" customFormat="1" ht="29.25" customHeight="1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185">
        <f t="shared" si="7"/>
        <v>0</v>
      </c>
    </row>
    <row r="92" spans="1:6" s="102" customFormat="1" ht="29.25" customHeight="1" thickBot="1">
      <c r="A92" s="63" t="s">
        <v>67</v>
      </c>
      <c r="B92" s="64">
        <v>76465822.31</v>
      </c>
      <c r="C92" s="64">
        <v>76890185</v>
      </c>
      <c r="D92" s="64">
        <v>77381991</v>
      </c>
      <c r="E92" s="64">
        <f t="shared" si="6"/>
        <v>491806</v>
      </c>
      <c r="F92" s="192">
        <f t="shared" si="7"/>
        <v>0.0063962129886929</v>
      </c>
    </row>
    <row r="93" spans="1:8" s="184" customFormat="1" ht="24" customHeight="1">
      <c r="A93" s="180" t="s">
        <v>97</v>
      </c>
      <c r="B93" s="181"/>
      <c r="C93" s="181"/>
      <c r="D93" s="181"/>
      <c r="E93" s="181"/>
      <c r="F93" s="182"/>
      <c r="G93" s="183"/>
      <c r="H93" s="183"/>
    </row>
  </sheetData>
  <sheetProtection/>
  <printOptions/>
  <pageMargins left="0.25" right="0.25" top="0.75" bottom="0.75" header="0.3" footer="0.3"/>
  <pageSetup fitToHeight="1" fitToWidth="1" horizontalDpi="600" verticalDpi="600" orientation="portrait" scale="2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60" zoomScaleNormal="60" zoomScalePageLayoutView="0" workbookViewId="0" topLeftCell="A1">
      <selection activeCell="B8" sqref="B8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4" width="32.8515625" style="94" customWidth="1"/>
    <col min="5" max="5" width="32.8515625" style="179" customWidth="1"/>
    <col min="6" max="6" width="25.57421875" style="179" customWidth="1"/>
    <col min="7" max="9" width="23.140625" style="91" bestFit="1" customWidth="1"/>
    <col min="10" max="16384" width="9.140625" style="91" customWidth="1"/>
  </cols>
  <sheetData>
    <row r="1" spans="1:8" s="92" customFormat="1" ht="46.5">
      <c r="A1" s="7" t="s">
        <v>0</v>
      </c>
      <c r="B1" s="8"/>
      <c r="C1" s="151" t="s">
        <v>1</v>
      </c>
      <c r="D1" s="152" t="s">
        <v>131</v>
      </c>
      <c r="E1" s="96"/>
      <c r="F1" s="96"/>
      <c r="G1" s="98"/>
      <c r="H1" s="97"/>
    </row>
    <row r="2" spans="1:8" s="92" customFormat="1" ht="46.5">
      <c r="A2" s="7" t="s">
        <v>2</v>
      </c>
      <c r="B2" s="8"/>
      <c r="C2" s="8"/>
      <c r="D2" s="8"/>
      <c r="E2" s="153"/>
      <c r="F2" s="153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54"/>
      <c r="F3" s="154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30">
      <c r="A6" s="155" t="s">
        <v>10</v>
      </c>
      <c r="B6" s="29"/>
      <c r="C6" s="29"/>
      <c r="D6" s="29"/>
      <c r="E6" s="29"/>
      <c r="F6" s="157"/>
    </row>
    <row r="7" spans="1:6" s="100" customFormat="1" ht="30">
      <c r="A7" s="155" t="s">
        <v>11</v>
      </c>
      <c r="B7" s="29"/>
      <c r="C7" s="29"/>
      <c r="D7" s="29"/>
      <c r="E7" s="29"/>
      <c r="F7" s="156"/>
    </row>
    <row r="8" spans="1:6" s="100" customFormat="1" ht="30">
      <c r="A8" s="158" t="s">
        <v>12</v>
      </c>
      <c r="B8" s="33">
        <v>6497577</v>
      </c>
      <c r="C8" s="33">
        <v>6497577</v>
      </c>
      <c r="D8" s="33">
        <v>6169908</v>
      </c>
      <c r="E8" s="33">
        <f aca="true" t="shared" si="0" ref="E8:E29">D8-C8</f>
        <v>-327669</v>
      </c>
      <c r="F8" s="228">
        <f aca="true" t="shared" si="1" ref="F8:F29">IF(ISBLANK(E8),"  ",IF(C8&gt;0,E8/C8,IF(E8&gt;0,1,0)))</f>
        <v>-0.050429413918449906</v>
      </c>
    </row>
    <row r="9" spans="1:6" s="100" customFormat="1" ht="30">
      <c r="A9" s="158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228">
        <f t="shared" si="1"/>
        <v>0</v>
      </c>
    </row>
    <row r="10" spans="1:6" s="100" customFormat="1" ht="30">
      <c r="A10" s="159" t="s">
        <v>14</v>
      </c>
      <c r="B10" s="36">
        <v>534807</v>
      </c>
      <c r="C10" s="36">
        <v>610645</v>
      </c>
      <c r="D10" s="36">
        <v>593739</v>
      </c>
      <c r="E10" s="36">
        <f t="shared" si="0"/>
        <v>-16906</v>
      </c>
      <c r="F10" s="229">
        <f t="shared" si="1"/>
        <v>-0.02768548010709987</v>
      </c>
    </row>
    <row r="11" spans="1:6" s="100" customFormat="1" ht="30">
      <c r="A11" s="160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228">
        <f t="shared" si="1"/>
        <v>0</v>
      </c>
    </row>
    <row r="12" spans="1:6" s="100" customFormat="1" ht="30">
      <c r="A12" s="161" t="s">
        <v>16</v>
      </c>
      <c r="B12" s="38">
        <v>484807</v>
      </c>
      <c r="C12" s="38">
        <v>560645</v>
      </c>
      <c r="D12" s="38">
        <v>543739</v>
      </c>
      <c r="E12" s="36">
        <f t="shared" si="0"/>
        <v>-16906</v>
      </c>
      <c r="F12" s="228">
        <f t="shared" si="1"/>
        <v>-0.030154554129618566</v>
      </c>
    </row>
    <row r="13" spans="1:6" s="100" customFormat="1" ht="30">
      <c r="A13" s="161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228">
        <f t="shared" si="1"/>
        <v>0</v>
      </c>
    </row>
    <row r="14" spans="1:6" s="100" customFormat="1" ht="30">
      <c r="A14" s="161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228">
        <f t="shared" si="1"/>
        <v>0</v>
      </c>
    </row>
    <row r="15" spans="1:6" s="100" customFormat="1" ht="30">
      <c r="A15" s="161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228">
        <f t="shared" si="1"/>
        <v>0</v>
      </c>
    </row>
    <row r="16" spans="1:6" s="100" customFormat="1" ht="30">
      <c r="A16" s="161" t="s">
        <v>20</v>
      </c>
      <c r="B16" s="38">
        <v>50000</v>
      </c>
      <c r="C16" s="38">
        <v>50000</v>
      </c>
      <c r="D16" s="38">
        <v>50000</v>
      </c>
      <c r="E16" s="36">
        <f t="shared" si="0"/>
        <v>0</v>
      </c>
      <c r="F16" s="228">
        <f t="shared" si="1"/>
        <v>0</v>
      </c>
    </row>
    <row r="17" spans="1:6" s="100" customFormat="1" ht="30">
      <c r="A17" s="161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228">
        <f t="shared" si="1"/>
        <v>0</v>
      </c>
    </row>
    <row r="18" spans="1:6" s="100" customFormat="1" ht="30">
      <c r="A18" s="161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228">
        <f t="shared" si="1"/>
        <v>0</v>
      </c>
    </row>
    <row r="19" spans="1:6" s="100" customFormat="1" ht="30">
      <c r="A19" s="161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228">
        <f t="shared" si="1"/>
        <v>0</v>
      </c>
    </row>
    <row r="20" spans="1:6" s="100" customFormat="1" ht="30">
      <c r="A20" s="161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228">
        <f t="shared" si="1"/>
        <v>0</v>
      </c>
    </row>
    <row r="21" spans="1:6" s="100" customFormat="1" ht="30">
      <c r="A21" s="161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228">
        <f t="shared" si="1"/>
        <v>0</v>
      </c>
    </row>
    <row r="22" spans="1:6" s="100" customFormat="1" ht="30">
      <c r="A22" s="161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228">
        <f t="shared" si="1"/>
        <v>0</v>
      </c>
    </row>
    <row r="23" spans="1:6" s="100" customFormat="1" ht="30">
      <c r="A23" s="162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228">
        <f t="shared" si="1"/>
        <v>0</v>
      </c>
    </row>
    <row r="24" spans="1:6" s="100" customFormat="1" ht="30">
      <c r="A24" s="162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228">
        <f t="shared" si="1"/>
        <v>0</v>
      </c>
    </row>
    <row r="25" spans="1:6" s="100" customFormat="1" ht="30">
      <c r="A25" s="162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228">
        <f t="shared" si="1"/>
        <v>0</v>
      </c>
    </row>
    <row r="26" spans="1:6" s="100" customFormat="1" ht="30">
      <c r="A26" s="162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228">
        <f t="shared" si="1"/>
        <v>0</v>
      </c>
    </row>
    <row r="27" spans="1:6" s="100" customFormat="1" ht="30">
      <c r="A27" s="162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228">
        <f t="shared" si="1"/>
        <v>0</v>
      </c>
    </row>
    <row r="28" spans="1:6" s="100" customFormat="1" ht="30">
      <c r="A28" s="162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228">
        <f t="shared" si="1"/>
        <v>0</v>
      </c>
    </row>
    <row r="29" spans="1:6" s="100" customFormat="1" ht="30">
      <c r="A29" s="162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229">
        <f t="shared" si="1"/>
        <v>0</v>
      </c>
    </row>
    <row r="30" spans="1:6" s="100" customFormat="1" ht="30">
      <c r="A30" s="163" t="s">
        <v>33</v>
      </c>
      <c r="B30" s="38"/>
      <c r="C30" s="38"/>
      <c r="D30" s="38"/>
      <c r="E30" s="38"/>
      <c r="F30" s="230"/>
    </row>
    <row r="31" spans="1:6" s="100" customFormat="1" ht="30">
      <c r="A31" s="160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228">
        <f>IF(ISBLANK(E31),"  ",IF(C31&gt;0,E31/C31,IF(E31&gt;0,1,0)))</f>
        <v>0</v>
      </c>
    </row>
    <row r="32" spans="1:6" s="100" customFormat="1" ht="30">
      <c r="A32" s="164" t="s">
        <v>35</v>
      </c>
      <c r="B32" s="38"/>
      <c r="C32" s="38"/>
      <c r="D32" s="38"/>
      <c r="E32" s="38"/>
      <c r="F32" s="230"/>
    </row>
    <row r="33" spans="1:6" s="100" customFormat="1" ht="30">
      <c r="A33" s="160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228">
        <f>IF(ISBLANK(E33),"  ",IF(C33&gt;0,E33/C33,IF(E33&gt;0,1,0)))</f>
        <v>0</v>
      </c>
    </row>
    <row r="34" spans="1:6" s="100" customFormat="1" ht="30">
      <c r="A34" s="161" t="s">
        <v>36</v>
      </c>
      <c r="B34" s="38"/>
      <c r="C34" s="38"/>
      <c r="D34" s="38"/>
      <c r="E34" s="36"/>
      <c r="F34" s="228" t="str">
        <f>IF(ISBLANK(E34),"  ",IF(C34&gt;0,E34/C34,IF(E34&gt;0,1,0)))</f>
        <v>  </v>
      </c>
    </row>
    <row r="35" spans="1:6" s="102" customFormat="1" ht="30">
      <c r="A35" s="165" t="s">
        <v>38</v>
      </c>
      <c r="B35" s="44">
        <v>7032384</v>
      </c>
      <c r="C35" s="44">
        <v>7108222</v>
      </c>
      <c r="D35" s="44">
        <v>6763647</v>
      </c>
      <c r="E35" s="44">
        <f>D35-C35</f>
        <v>-344575</v>
      </c>
      <c r="F35" s="231">
        <f>IF(ISBLANK(E35),"  ",IF(C35&gt;0,E35/C35,IF(E35&gt;0,1,0)))</f>
        <v>-0.04847555408370757</v>
      </c>
    </row>
    <row r="36" spans="1:6" s="100" customFormat="1" ht="30">
      <c r="A36" s="163" t="s">
        <v>39</v>
      </c>
      <c r="B36" s="38"/>
      <c r="C36" s="38"/>
      <c r="D36" s="38"/>
      <c r="E36" s="38"/>
      <c r="F36" s="230"/>
    </row>
    <row r="37" spans="1:6" s="100" customFormat="1" ht="30">
      <c r="A37" s="166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228">
        <f aca="true" t="shared" si="3" ref="F37:F42">IF(ISBLANK(E37),"  ",IF(C37&gt;0,E37/C37,IF(E37&gt;0,1,0)))</f>
        <v>0</v>
      </c>
    </row>
    <row r="38" spans="1:6" s="100" customFormat="1" ht="30">
      <c r="A38" s="167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228">
        <f t="shared" si="3"/>
        <v>0</v>
      </c>
    </row>
    <row r="39" spans="1:6" s="100" customFormat="1" ht="30">
      <c r="A39" s="167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228">
        <f t="shared" si="3"/>
        <v>0</v>
      </c>
    </row>
    <row r="40" spans="1:6" s="100" customFormat="1" ht="30">
      <c r="A40" s="167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228">
        <f t="shared" si="3"/>
        <v>0</v>
      </c>
    </row>
    <row r="41" spans="1:6" s="100" customFormat="1" ht="30">
      <c r="A41" s="168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228">
        <f t="shared" si="3"/>
        <v>0</v>
      </c>
    </row>
    <row r="42" spans="1:9" s="102" customFormat="1" ht="30">
      <c r="A42" s="163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232">
        <f t="shared" si="3"/>
        <v>0</v>
      </c>
      <c r="I42" s="102" t="s">
        <v>46</v>
      </c>
    </row>
    <row r="43" spans="1:6" s="100" customFormat="1" ht="30">
      <c r="A43" s="161" t="s">
        <v>46</v>
      </c>
      <c r="B43" s="38"/>
      <c r="C43" s="38"/>
      <c r="D43" s="38"/>
      <c r="E43" s="38"/>
      <c r="F43" s="230"/>
    </row>
    <row r="44" spans="1:6" s="102" customFormat="1" ht="30">
      <c r="A44" s="169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232">
        <f>IF(ISBLANK(E44),"  ",IF(C44&gt;0,E44/C44,IF(E44&gt;0,1,0)))</f>
        <v>0</v>
      </c>
    </row>
    <row r="45" spans="1:6" s="100" customFormat="1" ht="30">
      <c r="A45" s="161" t="s">
        <v>46</v>
      </c>
      <c r="B45" s="38"/>
      <c r="C45" s="38"/>
      <c r="D45" s="38"/>
      <c r="E45" s="38"/>
      <c r="F45" s="230"/>
    </row>
    <row r="46" spans="1:6" s="102" customFormat="1" ht="30">
      <c r="A46" s="169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232">
        <f>IF(ISBLANK(E46),"  ",IF(C46&gt;0,E46/C46,IF(E46&gt;0,1,0)))</f>
        <v>0</v>
      </c>
    </row>
    <row r="47" spans="1:6" s="100" customFormat="1" ht="30">
      <c r="A47" s="161" t="s">
        <v>46</v>
      </c>
      <c r="B47" s="38"/>
      <c r="C47" s="38"/>
      <c r="D47" s="38"/>
      <c r="E47" s="38"/>
      <c r="F47" s="230"/>
    </row>
    <row r="48" spans="1:6" s="102" customFormat="1" ht="30">
      <c r="A48" s="163" t="s">
        <v>49</v>
      </c>
      <c r="B48" s="50">
        <v>13706498.95</v>
      </c>
      <c r="C48" s="50">
        <v>13654187</v>
      </c>
      <c r="D48" s="50">
        <v>13658083</v>
      </c>
      <c r="E48" s="50">
        <f>D48-C48</f>
        <v>3896</v>
      </c>
      <c r="F48" s="231">
        <f>IF(ISBLANK(E48),"  ",IF(C48&gt;0,E48/C48,IF(E48&gt;0,1,0)))</f>
        <v>0.00028533372217620867</v>
      </c>
    </row>
    <row r="49" spans="1:6" s="100" customFormat="1" ht="30">
      <c r="A49" s="161" t="s">
        <v>46</v>
      </c>
      <c r="B49" s="38"/>
      <c r="C49" s="38"/>
      <c r="D49" s="38"/>
      <c r="E49" s="38"/>
      <c r="F49" s="230"/>
    </row>
    <row r="50" spans="1:6" s="102" customFormat="1" ht="30">
      <c r="A50" s="170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232">
        <f>IF(ISBLANK(E50),"  ",IF(C50&gt;0,E50/C50,IF(E50&gt;0,1,0)))</f>
        <v>0</v>
      </c>
    </row>
    <row r="51" spans="1:6" s="100" customFormat="1" ht="30">
      <c r="A51" s="163"/>
      <c r="B51" s="29"/>
      <c r="C51" s="29"/>
      <c r="D51" s="29"/>
      <c r="E51" s="29"/>
      <c r="F51" s="233"/>
    </row>
    <row r="52" spans="1:6" s="102" customFormat="1" ht="30">
      <c r="A52" s="163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232">
        <f>IF(ISBLANK(E52),"  ",IF(C52&gt;0,E52/C52,IF(E52&gt;0,1,0)))</f>
        <v>0</v>
      </c>
    </row>
    <row r="53" spans="1:6" s="100" customFormat="1" ht="30">
      <c r="A53" s="161"/>
      <c r="B53" s="38"/>
      <c r="C53" s="38"/>
      <c r="D53" s="38"/>
      <c r="E53" s="38"/>
      <c r="F53" s="230"/>
    </row>
    <row r="54" spans="1:6" s="102" customFormat="1" ht="30">
      <c r="A54" s="171" t="s">
        <v>52</v>
      </c>
      <c r="B54" s="50">
        <v>20738882.95</v>
      </c>
      <c r="C54" s="50">
        <v>20762409</v>
      </c>
      <c r="D54" s="50">
        <v>20421730</v>
      </c>
      <c r="E54" s="50">
        <f>D54-C54</f>
        <v>-340679</v>
      </c>
      <c r="F54" s="231">
        <f>IF(ISBLANK(E54),"  ",IF(C54&gt;0,E54/C54,IF(E54&gt;0,1,0)))</f>
        <v>-0.0164084524103152</v>
      </c>
    </row>
    <row r="55" spans="1:6" s="100" customFormat="1" ht="30">
      <c r="A55" s="172"/>
      <c r="B55" s="38"/>
      <c r="C55" s="38"/>
      <c r="D55" s="38"/>
      <c r="E55" s="38"/>
      <c r="F55" s="230" t="s">
        <v>46</v>
      </c>
    </row>
    <row r="56" spans="1:6" s="100" customFormat="1" ht="30">
      <c r="A56" s="173"/>
      <c r="B56" s="29"/>
      <c r="C56" s="29"/>
      <c r="D56" s="29"/>
      <c r="E56" s="29"/>
      <c r="F56" s="234" t="s">
        <v>46</v>
      </c>
    </row>
    <row r="57" spans="1:6" s="100" customFormat="1" ht="30">
      <c r="A57" s="171" t="s">
        <v>53</v>
      </c>
      <c r="B57" s="29"/>
      <c r="C57" s="29"/>
      <c r="D57" s="29"/>
      <c r="E57" s="29"/>
      <c r="F57" s="234"/>
    </row>
    <row r="58" spans="1:6" s="100" customFormat="1" ht="30">
      <c r="A58" s="160" t="s">
        <v>54</v>
      </c>
      <c r="B58" s="29">
        <v>8865207</v>
      </c>
      <c r="C58" s="29">
        <v>8695848</v>
      </c>
      <c r="D58" s="29">
        <v>8200479</v>
      </c>
      <c r="E58" s="29">
        <f aca="true" t="shared" si="4" ref="E58:E71">D58-C58</f>
        <v>-495369</v>
      </c>
      <c r="F58" s="229">
        <f aca="true" t="shared" si="5" ref="F58:F71">IF(ISBLANK(E58),"  ",IF(C58&gt;0,E58/C58,IF(E58&gt;0,1,0)))</f>
        <v>-0.056966152122254206</v>
      </c>
    </row>
    <row r="59" spans="1:6" s="100" customFormat="1" ht="30">
      <c r="A59" s="161" t="s">
        <v>55</v>
      </c>
      <c r="B59" s="38">
        <v>8877</v>
      </c>
      <c r="C59" s="38">
        <v>0</v>
      </c>
      <c r="D59" s="38">
        <v>0</v>
      </c>
      <c r="E59" s="38">
        <f t="shared" si="4"/>
        <v>0</v>
      </c>
      <c r="F59" s="228">
        <f t="shared" si="5"/>
        <v>0</v>
      </c>
    </row>
    <row r="60" spans="1:6" s="100" customFormat="1" ht="30">
      <c r="A60" s="161" t="s">
        <v>56</v>
      </c>
      <c r="B60" s="38">
        <v>1408</v>
      </c>
      <c r="C60" s="38">
        <v>0</v>
      </c>
      <c r="D60" s="38">
        <v>0</v>
      </c>
      <c r="E60" s="38">
        <f t="shared" si="4"/>
        <v>0</v>
      </c>
      <c r="F60" s="228">
        <f t="shared" si="5"/>
        <v>0</v>
      </c>
    </row>
    <row r="61" spans="1:6" s="100" customFormat="1" ht="30">
      <c r="A61" s="161" t="s">
        <v>57</v>
      </c>
      <c r="B61" s="38">
        <v>1119459</v>
      </c>
      <c r="C61" s="38">
        <v>1706981</v>
      </c>
      <c r="D61" s="38">
        <v>1654740</v>
      </c>
      <c r="E61" s="38">
        <f t="shared" si="4"/>
        <v>-52241</v>
      </c>
      <c r="F61" s="229">
        <f t="shared" si="5"/>
        <v>-0.030604324242624846</v>
      </c>
    </row>
    <row r="62" spans="1:6" s="100" customFormat="1" ht="30">
      <c r="A62" s="161" t="s">
        <v>58</v>
      </c>
      <c r="B62" s="38">
        <v>1164239.5</v>
      </c>
      <c r="C62" s="38">
        <v>835416</v>
      </c>
      <c r="D62" s="38">
        <v>799118</v>
      </c>
      <c r="E62" s="38">
        <f t="shared" si="4"/>
        <v>-36298</v>
      </c>
      <c r="F62" s="228">
        <f t="shared" si="5"/>
        <v>-0.04344901222863819</v>
      </c>
    </row>
    <row r="63" spans="1:6" s="100" customFormat="1" ht="30">
      <c r="A63" s="161" t="s">
        <v>59</v>
      </c>
      <c r="B63" s="38">
        <v>6666531</v>
      </c>
      <c r="C63" s="38">
        <v>7030769</v>
      </c>
      <c r="D63" s="38">
        <v>7101253</v>
      </c>
      <c r="E63" s="38">
        <f t="shared" si="4"/>
        <v>70484</v>
      </c>
      <c r="F63" s="229">
        <f t="shared" si="5"/>
        <v>0.010025076915483926</v>
      </c>
    </row>
    <row r="64" spans="1:6" s="100" customFormat="1" ht="30">
      <c r="A64" s="161" t="s">
        <v>60</v>
      </c>
      <c r="B64" s="38">
        <v>858041</v>
      </c>
      <c r="C64" s="38">
        <v>182000</v>
      </c>
      <c r="D64" s="38">
        <v>276680</v>
      </c>
      <c r="E64" s="38">
        <f t="shared" si="4"/>
        <v>94680</v>
      </c>
      <c r="F64" s="229">
        <f t="shared" si="5"/>
        <v>0.5202197802197802</v>
      </c>
    </row>
    <row r="65" spans="1:6" s="100" customFormat="1" ht="30">
      <c r="A65" s="161" t="s">
        <v>61</v>
      </c>
      <c r="B65" s="38">
        <v>561214</v>
      </c>
      <c r="C65" s="38">
        <v>1836395</v>
      </c>
      <c r="D65" s="38">
        <v>1994460</v>
      </c>
      <c r="E65" s="38">
        <f t="shared" si="4"/>
        <v>158065</v>
      </c>
      <c r="F65" s="229">
        <f t="shared" si="5"/>
        <v>0.08607352993228581</v>
      </c>
    </row>
    <row r="66" spans="1:9" s="102" customFormat="1" ht="30">
      <c r="A66" s="174" t="s">
        <v>62</v>
      </c>
      <c r="B66" s="44">
        <v>19244976.5</v>
      </c>
      <c r="C66" s="44">
        <v>20287409</v>
      </c>
      <c r="D66" s="44">
        <v>20026730</v>
      </c>
      <c r="E66" s="44">
        <f t="shared" si="4"/>
        <v>-260679</v>
      </c>
      <c r="F66" s="231">
        <f t="shared" si="5"/>
        <v>-0.012849299779976831</v>
      </c>
      <c r="G66" s="103"/>
      <c r="H66" s="103"/>
      <c r="I66" s="103"/>
    </row>
    <row r="67" spans="1:6" s="100" customFormat="1" ht="30">
      <c r="A67" s="161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228">
        <f t="shared" si="5"/>
        <v>0</v>
      </c>
    </row>
    <row r="68" spans="1:6" s="100" customFormat="1" ht="30">
      <c r="A68" s="161" t="s">
        <v>64</v>
      </c>
      <c r="B68" s="38">
        <v>1018906</v>
      </c>
      <c r="C68" s="38">
        <v>0</v>
      </c>
      <c r="D68" s="38">
        <v>0</v>
      </c>
      <c r="E68" s="38">
        <f t="shared" si="4"/>
        <v>0</v>
      </c>
      <c r="F68" s="228">
        <f t="shared" si="5"/>
        <v>0</v>
      </c>
    </row>
    <row r="69" spans="1:6" s="100" customFormat="1" ht="30">
      <c r="A69" s="161" t="s">
        <v>65</v>
      </c>
      <c r="B69" s="38">
        <v>475000</v>
      </c>
      <c r="C69" s="38">
        <v>475000</v>
      </c>
      <c r="D69" s="38">
        <v>395000</v>
      </c>
      <c r="E69" s="38">
        <f t="shared" si="4"/>
        <v>-80000</v>
      </c>
      <c r="F69" s="228">
        <f t="shared" si="5"/>
        <v>-0.16842105263157894</v>
      </c>
    </row>
    <row r="70" spans="1:6" s="100" customFormat="1" ht="30">
      <c r="A70" s="161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228">
        <f t="shared" si="5"/>
        <v>0</v>
      </c>
    </row>
    <row r="71" spans="1:9" s="102" customFormat="1" ht="30">
      <c r="A71" s="175" t="s">
        <v>67</v>
      </c>
      <c r="B71" s="61">
        <v>20738882.5</v>
      </c>
      <c r="C71" s="61">
        <v>20762409</v>
      </c>
      <c r="D71" s="61">
        <v>20421730</v>
      </c>
      <c r="E71" s="61">
        <f t="shared" si="4"/>
        <v>-340679</v>
      </c>
      <c r="F71" s="231">
        <f t="shared" si="5"/>
        <v>-0.0164084524103152</v>
      </c>
      <c r="G71" s="103"/>
      <c r="H71" s="103"/>
      <c r="I71" s="103"/>
    </row>
    <row r="72" spans="1:6" s="100" customFormat="1" ht="30">
      <c r="A72" s="173"/>
      <c r="B72" s="29"/>
      <c r="C72" s="29"/>
      <c r="D72" s="29"/>
      <c r="E72" s="29"/>
      <c r="F72" s="234"/>
    </row>
    <row r="73" spans="1:6" s="100" customFormat="1" ht="30">
      <c r="A73" s="171" t="s">
        <v>68</v>
      </c>
      <c r="B73" s="29"/>
      <c r="C73" s="29"/>
      <c r="D73" s="29"/>
      <c r="E73" s="29"/>
      <c r="F73" s="234"/>
    </row>
    <row r="74" spans="1:6" s="100" customFormat="1" ht="30">
      <c r="A74" s="160" t="s">
        <v>69</v>
      </c>
      <c r="B74" s="33">
        <v>10935485</v>
      </c>
      <c r="C74" s="33">
        <v>10922104</v>
      </c>
      <c r="D74" s="33">
        <v>11127757</v>
      </c>
      <c r="E74" s="29">
        <f aca="true" t="shared" si="6" ref="E74:E92">D74-C74</f>
        <v>205653</v>
      </c>
      <c r="F74" s="228">
        <f aca="true" t="shared" si="7" ref="F74:F92">IF(ISBLANK(E74),"  ",IF(C74&gt;0,E74/C74,IF(E74&gt;0,1,0)))</f>
        <v>0.01882906443666898</v>
      </c>
    </row>
    <row r="75" spans="1:6" s="100" customFormat="1" ht="30">
      <c r="A75" s="161" t="s">
        <v>70</v>
      </c>
      <c r="B75" s="36">
        <v>511796</v>
      </c>
      <c r="C75" s="33">
        <v>0</v>
      </c>
      <c r="D75" s="33">
        <v>0</v>
      </c>
      <c r="E75" s="38">
        <f t="shared" si="6"/>
        <v>0</v>
      </c>
      <c r="F75" s="228">
        <f t="shared" si="7"/>
        <v>0</v>
      </c>
    </row>
    <row r="76" spans="1:6" s="100" customFormat="1" ht="30">
      <c r="A76" s="161" t="s">
        <v>71</v>
      </c>
      <c r="B76" s="29">
        <v>5670669</v>
      </c>
      <c r="C76" s="33">
        <v>4914365</v>
      </c>
      <c r="D76" s="33">
        <v>5167226</v>
      </c>
      <c r="E76" s="38">
        <f t="shared" si="6"/>
        <v>252861</v>
      </c>
      <c r="F76" s="229">
        <f t="shared" si="7"/>
        <v>0.051453443120321754</v>
      </c>
    </row>
    <row r="77" spans="1:9" s="102" customFormat="1" ht="30">
      <c r="A77" s="174" t="s">
        <v>72</v>
      </c>
      <c r="B77" s="61">
        <v>17117950</v>
      </c>
      <c r="C77" s="61">
        <v>15836469</v>
      </c>
      <c r="D77" s="61">
        <v>16294983</v>
      </c>
      <c r="E77" s="44">
        <f t="shared" si="6"/>
        <v>458514</v>
      </c>
      <c r="F77" s="232">
        <f t="shared" si="7"/>
        <v>0.028953045025377815</v>
      </c>
      <c r="G77" s="103"/>
      <c r="H77" s="103"/>
      <c r="I77" s="103"/>
    </row>
    <row r="78" spans="1:6" s="100" customFormat="1" ht="30">
      <c r="A78" s="161" t="s">
        <v>73</v>
      </c>
      <c r="B78" s="36">
        <v>0</v>
      </c>
      <c r="C78" s="36">
        <v>151500</v>
      </c>
      <c r="D78" s="36">
        <v>60000</v>
      </c>
      <c r="E78" s="38">
        <f t="shared" si="6"/>
        <v>-91500</v>
      </c>
      <c r="F78" s="228">
        <f t="shared" si="7"/>
        <v>-0.6039603960396039</v>
      </c>
    </row>
    <row r="79" spans="1:6" s="100" customFormat="1" ht="30">
      <c r="A79" s="161" t="s">
        <v>74</v>
      </c>
      <c r="B79" s="33">
        <v>788824.5</v>
      </c>
      <c r="C79" s="33">
        <v>2320694</v>
      </c>
      <c r="D79" s="33">
        <v>2022045</v>
      </c>
      <c r="E79" s="38">
        <f t="shared" si="6"/>
        <v>-298649</v>
      </c>
      <c r="F79" s="229">
        <f t="shared" si="7"/>
        <v>-0.12868952132422457</v>
      </c>
    </row>
    <row r="80" spans="1:6" s="100" customFormat="1" ht="30">
      <c r="A80" s="161" t="s">
        <v>75</v>
      </c>
      <c r="B80" s="29">
        <v>182815</v>
      </c>
      <c r="C80" s="29">
        <v>368500</v>
      </c>
      <c r="D80" s="29">
        <v>238320</v>
      </c>
      <c r="E80" s="38">
        <f t="shared" si="6"/>
        <v>-130180</v>
      </c>
      <c r="F80" s="229">
        <f t="shared" si="7"/>
        <v>-0.35327001356852106</v>
      </c>
    </row>
    <row r="81" spans="1:9" s="102" customFormat="1" ht="30">
      <c r="A81" s="164" t="s">
        <v>76</v>
      </c>
      <c r="B81" s="61">
        <v>971639.5</v>
      </c>
      <c r="C81" s="61">
        <v>2840694</v>
      </c>
      <c r="D81" s="61">
        <v>2320365</v>
      </c>
      <c r="E81" s="44">
        <f t="shared" si="6"/>
        <v>-520329</v>
      </c>
      <c r="F81" s="231">
        <f t="shared" si="7"/>
        <v>-0.1831696761425201</v>
      </c>
      <c r="G81" s="103"/>
      <c r="H81" s="103"/>
      <c r="I81" s="103"/>
    </row>
    <row r="82" spans="1:6" s="100" customFormat="1" ht="30">
      <c r="A82" s="161" t="s">
        <v>77</v>
      </c>
      <c r="B82" s="29">
        <v>141041</v>
      </c>
      <c r="C82" s="29">
        <v>152000</v>
      </c>
      <c r="D82" s="29">
        <v>150000</v>
      </c>
      <c r="E82" s="38">
        <f t="shared" si="6"/>
        <v>-2000</v>
      </c>
      <c r="F82" s="228">
        <f t="shared" si="7"/>
        <v>-0.013157894736842105</v>
      </c>
    </row>
    <row r="83" spans="1:6" s="100" customFormat="1" ht="30">
      <c r="A83" s="161" t="s">
        <v>78</v>
      </c>
      <c r="B83" s="38">
        <v>1435363</v>
      </c>
      <c r="C83" s="38">
        <v>1391811</v>
      </c>
      <c r="D83" s="38">
        <v>1253954</v>
      </c>
      <c r="E83" s="38">
        <f t="shared" si="6"/>
        <v>-137857</v>
      </c>
      <c r="F83" s="229">
        <f t="shared" si="7"/>
        <v>-0.09904864956520677</v>
      </c>
    </row>
    <row r="84" spans="1:6" s="100" customFormat="1" ht="30">
      <c r="A84" s="161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228">
        <f t="shared" si="7"/>
        <v>0</v>
      </c>
    </row>
    <row r="85" spans="1:6" s="100" customFormat="1" ht="30">
      <c r="A85" s="161" t="s">
        <v>80</v>
      </c>
      <c r="B85" s="38">
        <v>1041880</v>
      </c>
      <c r="C85" s="38">
        <v>416434</v>
      </c>
      <c r="D85" s="38">
        <v>402428</v>
      </c>
      <c r="E85" s="38">
        <f t="shared" si="6"/>
        <v>-14006</v>
      </c>
      <c r="F85" s="228">
        <f t="shared" si="7"/>
        <v>-0.03363318076814093</v>
      </c>
    </row>
    <row r="86" spans="1:9" s="102" customFormat="1" ht="30">
      <c r="A86" s="164" t="s">
        <v>81</v>
      </c>
      <c r="B86" s="44">
        <v>2618284</v>
      </c>
      <c r="C86" s="44">
        <v>1960245</v>
      </c>
      <c r="D86" s="44">
        <v>1806382</v>
      </c>
      <c r="E86" s="44">
        <f t="shared" si="6"/>
        <v>-153863</v>
      </c>
      <c r="F86" s="231">
        <f t="shared" si="7"/>
        <v>-0.07849171914735148</v>
      </c>
      <c r="G86" s="103"/>
      <c r="H86" s="103"/>
      <c r="I86" s="103"/>
    </row>
    <row r="87" spans="1:6" s="100" customFormat="1" ht="30">
      <c r="A87" s="161" t="s">
        <v>82</v>
      </c>
      <c r="B87" s="38">
        <v>879</v>
      </c>
      <c r="C87" s="38">
        <v>125000</v>
      </c>
      <c r="D87" s="38">
        <v>0</v>
      </c>
      <c r="E87" s="38">
        <f t="shared" si="6"/>
        <v>-125000</v>
      </c>
      <c r="F87" s="229">
        <f t="shared" si="7"/>
        <v>-1</v>
      </c>
    </row>
    <row r="88" spans="1:6" s="100" customFormat="1" ht="30">
      <c r="A88" s="161" t="s">
        <v>83</v>
      </c>
      <c r="B88" s="38">
        <v>25630</v>
      </c>
      <c r="C88" s="38">
        <v>0</v>
      </c>
      <c r="D88" s="38">
        <v>0</v>
      </c>
      <c r="E88" s="38">
        <f t="shared" si="6"/>
        <v>0</v>
      </c>
      <c r="F88" s="229">
        <f t="shared" si="7"/>
        <v>0</v>
      </c>
    </row>
    <row r="89" spans="1:6" s="100" customFormat="1" ht="30">
      <c r="A89" s="167" t="s">
        <v>84</v>
      </c>
      <c r="B89" s="38">
        <v>4500</v>
      </c>
      <c r="C89" s="38">
        <v>0</v>
      </c>
      <c r="D89" s="38">
        <v>0</v>
      </c>
      <c r="E89" s="38">
        <f t="shared" si="6"/>
        <v>0</v>
      </c>
      <c r="F89" s="229">
        <f t="shared" si="7"/>
        <v>0</v>
      </c>
    </row>
    <row r="90" spans="1:9" s="102" customFormat="1" ht="30">
      <c r="A90" s="176" t="s">
        <v>85</v>
      </c>
      <c r="B90" s="61">
        <v>31009</v>
      </c>
      <c r="C90" s="61">
        <v>125000</v>
      </c>
      <c r="D90" s="61">
        <v>0</v>
      </c>
      <c r="E90" s="61">
        <f t="shared" si="6"/>
        <v>-125000</v>
      </c>
      <c r="F90" s="231">
        <f t="shared" si="7"/>
        <v>-1</v>
      </c>
      <c r="G90" s="103"/>
      <c r="H90" s="103"/>
      <c r="I90" s="103"/>
    </row>
    <row r="91" spans="1:6" s="100" customFormat="1" ht="30">
      <c r="A91" s="167" t="s">
        <v>86</v>
      </c>
      <c r="B91" s="38">
        <v>0</v>
      </c>
      <c r="C91" s="38">
        <v>0</v>
      </c>
      <c r="D91" s="36">
        <v>0</v>
      </c>
      <c r="E91" s="38">
        <f t="shared" si="6"/>
        <v>0</v>
      </c>
      <c r="F91" s="228">
        <f t="shared" si="7"/>
        <v>0</v>
      </c>
    </row>
    <row r="92" spans="1:6" s="102" customFormat="1" ht="30.75" thickBot="1">
      <c r="A92" s="177" t="s">
        <v>67</v>
      </c>
      <c r="B92" s="64">
        <v>20738882.5</v>
      </c>
      <c r="C92" s="64">
        <v>20762409</v>
      </c>
      <c r="D92" s="236">
        <v>20421730</v>
      </c>
      <c r="E92" s="64">
        <f t="shared" si="6"/>
        <v>-340679</v>
      </c>
      <c r="F92" s="235">
        <f t="shared" si="7"/>
        <v>-0.0164084524103152</v>
      </c>
    </row>
    <row r="93" spans="1:8" s="93" customFormat="1" ht="31.5">
      <c r="A93" s="16"/>
      <c r="B93" s="17"/>
      <c r="C93" s="17"/>
      <c r="D93" s="17"/>
      <c r="E93" s="178"/>
      <c r="F93" s="17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80" zoomScaleNormal="80" zoomScalePageLayoutView="0" workbookViewId="0" topLeftCell="A79">
      <selection activeCell="B8" sqref="B8:B9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9" width="23.140625" style="91" bestFit="1" customWidth="1"/>
    <col min="10" max="16384" width="9.140625" style="91" customWidth="1"/>
  </cols>
  <sheetData>
    <row r="1" spans="1:8" s="92" customFormat="1" ht="46.5">
      <c r="A1" s="7" t="s">
        <v>0</v>
      </c>
      <c r="B1" s="8"/>
      <c r="C1" s="8"/>
      <c r="D1" s="10" t="s">
        <v>1</v>
      </c>
      <c r="E1" s="1" t="s">
        <v>133</v>
      </c>
      <c r="F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7.75">
      <c r="A6" s="194" t="s">
        <v>10</v>
      </c>
      <c r="B6" s="29"/>
      <c r="C6" s="29"/>
      <c r="D6" s="29"/>
      <c r="E6" s="29"/>
      <c r="F6" s="195"/>
    </row>
    <row r="7" spans="1:6" s="100" customFormat="1" ht="27.75">
      <c r="A7" s="194" t="s">
        <v>11</v>
      </c>
      <c r="B7" s="29"/>
      <c r="C7" s="29"/>
      <c r="D7" s="29"/>
      <c r="E7" s="29"/>
      <c r="F7" s="196"/>
    </row>
    <row r="8" spans="1:6" s="100" customFormat="1" ht="27.75">
      <c r="A8" s="197" t="s">
        <v>12</v>
      </c>
      <c r="B8" s="33">
        <v>5622536</v>
      </c>
      <c r="C8" s="33">
        <v>5622536</v>
      </c>
      <c r="D8" s="33">
        <v>5518427</v>
      </c>
      <c r="E8" s="33">
        <f aca="true" t="shared" si="0" ref="E8:E29">D8-C8</f>
        <v>-104109</v>
      </c>
      <c r="F8" s="198">
        <f aca="true" t="shared" si="1" ref="F8:F29">IF(ISBLANK(E8),"  ",IF(C8&gt;0,E8/C8,IF(E8&gt;0,1,0)))</f>
        <v>-0.018516377663033195</v>
      </c>
    </row>
    <row r="9" spans="1:6" s="100" customFormat="1" ht="27.75">
      <c r="A9" s="197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198">
        <f t="shared" si="1"/>
        <v>0</v>
      </c>
    </row>
    <row r="10" spans="1:6" s="100" customFormat="1" ht="27.75">
      <c r="A10" s="199" t="s">
        <v>14</v>
      </c>
      <c r="B10" s="36">
        <v>172718</v>
      </c>
      <c r="C10" s="36">
        <v>200658</v>
      </c>
      <c r="D10" s="36">
        <v>194607</v>
      </c>
      <c r="E10" s="36">
        <f t="shared" si="0"/>
        <v>-6051</v>
      </c>
      <c r="F10" s="198">
        <f t="shared" si="1"/>
        <v>-0.030155787459259037</v>
      </c>
    </row>
    <row r="11" spans="1:6" s="100" customFormat="1" ht="27.75">
      <c r="A11" s="200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198">
        <f t="shared" si="1"/>
        <v>0</v>
      </c>
    </row>
    <row r="12" spans="1:6" s="100" customFormat="1" ht="27.75">
      <c r="A12" s="201" t="s">
        <v>16</v>
      </c>
      <c r="B12" s="38">
        <v>172718</v>
      </c>
      <c r="C12" s="38">
        <v>200658</v>
      </c>
      <c r="D12" s="38">
        <v>194607</v>
      </c>
      <c r="E12" s="36">
        <f t="shared" si="0"/>
        <v>-6051</v>
      </c>
      <c r="F12" s="198">
        <f t="shared" si="1"/>
        <v>-0.030155787459259037</v>
      </c>
    </row>
    <row r="13" spans="1:6" s="100" customFormat="1" ht="27.75">
      <c r="A13" s="201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198">
        <f t="shared" si="1"/>
        <v>0</v>
      </c>
    </row>
    <row r="14" spans="1:6" s="100" customFormat="1" ht="27.75">
      <c r="A14" s="201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198">
        <f t="shared" si="1"/>
        <v>0</v>
      </c>
    </row>
    <row r="15" spans="1:6" s="100" customFormat="1" ht="27.75">
      <c r="A15" s="201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198">
        <f t="shared" si="1"/>
        <v>0</v>
      </c>
    </row>
    <row r="16" spans="1:6" s="100" customFormat="1" ht="27.75">
      <c r="A16" s="201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198">
        <f t="shared" si="1"/>
        <v>0</v>
      </c>
    </row>
    <row r="17" spans="1:6" s="100" customFormat="1" ht="27.75">
      <c r="A17" s="201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198">
        <f t="shared" si="1"/>
        <v>0</v>
      </c>
    </row>
    <row r="18" spans="1:6" s="100" customFormat="1" ht="27.75">
      <c r="A18" s="201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198">
        <f t="shared" si="1"/>
        <v>0</v>
      </c>
    </row>
    <row r="19" spans="1:6" s="100" customFormat="1" ht="27.75">
      <c r="A19" s="201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198">
        <f t="shared" si="1"/>
        <v>0</v>
      </c>
    </row>
    <row r="20" spans="1:6" s="100" customFormat="1" ht="27.75">
      <c r="A20" s="201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198">
        <f t="shared" si="1"/>
        <v>0</v>
      </c>
    </row>
    <row r="21" spans="1:6" s="100" customFormat="1" ht="27.75">
      <c r="A21" s="201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198">
        <f t="shared" si="1"/>
        <v>0</v>
      </c>
    </row>
    <row r="22" spans="1:6" s="100" customFormat="1" ht="27.75">
      <c r="A22" s="201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198">
        <f t="shared" si="1"/>
        <v>0</v>
      </c>
    </row>
    <row r="23" spans="1:6" s="100" customFormat="1" ht="27.75">
      <c r="A23" s="202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198">
        <f t="shared" si="1"/>
        <v>0</v>
      </c>
    </row>
    <row r="24" spans="1:6" s="100" customFormat="1" ht="27.75">
      <c r="A24" s="202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198">
        <f t="shared" si="1"/>
        <v>0</v>
      </c>
    </row>
    <row r="25" spans="1:6" s="100" customFormat="1" ht="27.75">
      <c r="A25" s="202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198">
        <f t="shared" si="1"/>
        <v>0</v>
      </c>
    </row>
    <row r="26" spans="1:6" s="100" customFormat="1" ht="27.75">
      <c r="A26" s="202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198">
        <f t="shared" si="1"/>
        <v>0</v>
      </c>
    </row>
    <row r="27" spans="1:6" s="100" customFormat="1" ht="27.75">
      <c r="A27" s="202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198">
        <f t="shared" si="1"/>
        <v>0</v>
      </c>
    </row>
    <row r="28" spans="1:6" s="100" customFormat="1" ht="27.75">
      <c r="A28" s="202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198">
        <f>IF(ISBLANK(E28),"  ",IF(C28&gt;0,E28/C28,IF(E28&gt;0,1,0)))</f>
        <v>0</v>
      </c>
    </row>
    <row r="29" spans="1:6" s="100" customFormat="1" ht="27.75">
      <c r="A29" s="202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198">
        <f t="shared" si="1"/>
        <v>0</v>
      </c>
    </row>
    <row r="30" spans="1:6" s="100" customFormat="1" ht="27.75">
      <c r="A30" s="203" t="s">
        <v>33</v>
      </c>
      <c r="B30" s="38"/>
      <c r="C30" s="38"/>
      <c r="D30" s="38"/>
      <c r="E30" s="38"/>
      <c r="F30" s="195"/>
    </row>
    <row r="31" spans="1:6" s="100" customFormat="1" ht="27.75">
      <c r="A31" s="200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198">
        <f>IF(ISBLANK(E31),"  ",IF(C31&gt;0,E31/C31,IF(E31&gt;0,1,0)))</f>
        <v>0</v>
      </c>
    </row>
    <row r="32" spans="1:6" s="100" customFormat="1" ht="27.75">
      <c r="A32" s="204" t="s">
        <v>35</v>
      </c>
      <c r="B32" s="38"/>
      <c r="C32" s="38"/>
      <c r="D32" s="38"/>
      <c r="E32" s="38"/>
      <c r="F32" s="195"/>
    </row>
    <row r="33" spans="1:6" s="100" customFormat="1" ht="27.75">
      <c r="A33" s="200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198">
        <f>IF(ISBLANK(E33),"  ",IF(C33&gt;0,E33/C33,IF(E33&gt;0,1,0)))</f>
        <v>0</v>
      </c>
    </row>
    <row r="34" spans="1:6" s="100" customFormat="1" ht="27.75">
      <c r="A34" s="201" t="s">
        <v>36</v>
      </c>
      <c r="B34" s="38"/>
      <c r="C34" s="38"/>
      <c r="D34" s="38"/>
      <c r="E34" s="36"/>
      <c r="F34" s="198" t="str">
        <f>IF(ISBLANK(E34),"  ",IF(C34&gt;0,E34/C34,IF(E34&gt;0,1,0)))</f>
        <v>  </v>
      </c>
    </row>
    <row r="35" spans="1:6" s="102" customFormat="1" ht="27.75">
      <c r="A35" s="205" t="s">
        <v>38</v>
      </c>
      <c r="B35" s="44">
        <v>5795254</v>
      </c>
      <c r="C35" s="44">
        <v>5823194</v>
      </c>
      <c r="D35" s="44">
        <v>5713034</v>
      </c>
      <c r="E35" s="44">
        <f>D35-C35</f>
        <v>-110160</v>
      </c>
      <c r="F35" s="206">
        <f>IF(ISBLANK(E35),"  ",IF(C35&gt;0,E35/C35,IF(E35&gt;0,1,0)))</f>
        <v>-0.018917453205234105</v>
      </c>
    </row>
    <row r="36" spans="1:6" s="100" customFormat="1" ht="27.75">
      <c r="A36" s="203" t="s">
        <v>39</v>
      </c>
      <c r="B36" s="38"/>
      <c r="C36" s="38"/>
      <c r="D36" s="38"/>
      <c r="E36" s="38"/>
      <c r="F36" s="195"/>
    </row>
    <row r="37" spans="1:6" s="100" customFormat="1" ht="27.75">
      <c r="A37" s="20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198">
        <f aca="true" t="shared" si="3" ref="F37:F42">IF(ISBLANK(E37),"  ",IF(C37&gt;0,E37/C37,IF(E37&gt;0,1,0)))</f>
        <v>0</v>
      </c>
    </row>
    <row r="38" spans="1:6" s="100" customFormat="1" ht="27.75">
      <c r="A38" s="20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198">
        <f t="shared" si="3"/>
        <v>0</v>
      </c>
    </row>
    <row r="39" spans="1:6" s="100" customFormat="1" ht="27.75">
      <c r="A39" s="20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198">
        <f t="shared" si="3"/>
        <v>0</v>
      </c>
    </row>
    <row r="40" spans="1:6" s="100" customFormat="1" ht="27.75">
      <c r="A40" s="20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198">
        <f t="shared" si="3"/>
        <v>0</v>
      </c>
    </row>
    <row r="41" spans="1:6" s="100" customFormat="1" ht="27.75">
      <c r="A41" s="20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198">
        <f t="shared" si="3"/>
        <v>0</v>
      </c>
    </row>
    <row r="42" spans="1:12" s="102" customFormat="1" ht="27.75">
      <c r="A42" s="203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206">
        <f t="shared" si="3"/>
        <v>0</v>
      </c>
      <c r="L42" s="102" t="s">
        <v>46</v>
      </c>
    </row>
    <row r="43" spans="1:6" s="100" customFormat="1" ht="27.75">
      <c r="A43" s="201" t="s">
        <v>46</v>
      </c>
      <c r="B43" s="38"/>
      <c r="C43" s="38"/>
      <c r="D43" s="38"/>
      <c r="E43" s="38"/>
      <c r="F43" s="195"/>
    </row>
    <row r="44" spans="1:6" s="102" customFormat="1" ht="27.75">
      <c r="A44" s="210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206">
        <f>IF(ISBLANK(E44),"  ",IF(C44&gt;0,E44/C44,IF(E44&gt;0,1,0)))</f>
        <v>0</v>
      </c>
    </row>
    <row r="45" spans="1:6" s="100" customFormat="1" ht="27.75">
      <c r="A45" s="201" t="s">
        <v>46</v>
      </c>
      <c r="B45" s="38"/>
      <c r="C45" s="38"/>
      <c r="D45" s="38"/>
      <c r="E45" s="38"/>
      <c r="F45" s="195"/>
    </row>
    <row r="46" spans="1:6" s="102" customFormat="1" ht="27.75">
      <c r="A46" s="210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206">
        <f>IF(ISBLANK(E46),"  ",IF(C46&gt;0,E46/C46,IF(E46&gt;0,1,0)))</f>
        <v>0</v>
      </c>
    </row>
    <row r="47" spans="1:6" s="100" customFormat="1" ht="27.75">
      <c r="A47" s="201" t="s">
        <v>46</v>
      </c>
      <c r="B47" s="38"/>
      <c r="C47" s="38"/>
      <c r="D47" s="38"/>
      <c r="E47" s="38"/>
      <c r="F47" s="195"/>
    </row>
    <row r="48" spans="1:6" s="102" customFormat="1" ht="27.75">
      <c r="A48" s="203" t="s">
        <v>49</v>
      </c>
      <c r="B48" s="50">
        <v>8985479</v>
      </c>
      <c r="C48" s="50">
        <v>9258838</v>
      </c>
      <c r="D48" s="50">
        <v>9558838</v>
      </c>
      <c r="E48" s="50">
        <f>D48-C48</f>
        <v>300000</v>
      </c>
      <c r="F48" s="206">
        <f>IF(ISBLANK(E48),"  ",IF(C48&gt;0,E48/C48,IF(E48&gt;0,1,0)))</f>
        <v>0.032401474137467356</v>
      </c>
    </row>
    <row r="49" spans="1:6" s="100" customFormat="1" ht="27.75">
      <c r="A49" s="201" t="s">
        <v>46</v>
      </c>
      <c r="B49" s="38"/>
      <c r="C49" s="38"/>
      <c r="D49" s="38"/>
      <c r="E49" s="38"/>
      <c r="F49" s="195"/>
    </row>
    <row r="50" spans="1:6" s="102" customFormat="1" ht="27.75">
      <c r="A50" s="211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206">
        <f>IF(ISBLANK(E50),"  ",IF(C50&gt;0,E50/C50,IF(E50&gt;0,1,0)))</f>
        <v>0</v>
      </c>
    </row>
    <row r="51" spans="1:6" s="100" customFormat="1" ht="27.75">
      <c r="A51" s="203"/>
      <c r="B51" s="29"/>
      <c r="C51" s="29"/>
      <c r="D51" s="29"/>
      <c r="E51" s="29"/>
      <c r="F51" s="212"/>
    </row>
    <row r="52" spans="1:6" s="102" customFormat="1" ht="27.75">
      <c r="A52" s="203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206">
        <f>IF(ISBLANK(E52),"  ",IF(C52&gt;0,E52/C52,IF(E52&gt;0,1,0)))</f>
        <v>0</v>
      </c>
    </row>
    <row r="53" spans="1:6" s="100" customFormat="1" ht="27.75">
      <c r="A53" s="201"/>
      <c r="B53" s="38"/>
      <c r="C53" s="38"/>
      <c r="D53" s="38"/>
      <c r="E53" s="38"/>
      <c r="F53" s="195"/>
    </row>
    <row r="54" spans="1:6" s="102" customFormat="1" ht="27.75">
      <c r="A54" s="213" t="s">
        <v>52</v>
      </c>
      <c r="B54" s="50">
        <v>14780733</v>
      </c>
      <c r="C54" s="50">
        <v>15082032</v>
      </c>
      <c r="D54" s="50">
        <v>15271872</v>
      </c>
      <c r="E54" s="50">
        <f>D54-C54</f>
        <v>189840</v>
      </c>
      <c r="F54" s="206">
        <f>IF(ISBLANK(E54),"  ",IF(C54&gt;0,E54/C54,IF(E54&gt;0,1,0)))</f>
        <v>0.012587163321228863</v>
      </c>
    </row>
    <row r="55" spans="1:6" s="100" customFormat="1" ht="27.75">
      <c r="A55" s="214"/>
      <c r="B55" s="38"/>
      <c r="C55" s="38"/>
      <c r="D55" s="38"/>
      <c r="E55" s="38"/>
      <c r="F55" s="195" t="s">
        <v>46</v>
      </c>
    </row>
    <row r="56" spans="1:6" s="100" customFormat="1" ht="27.75">
      <c r="A56" s="215"/>
      <c r="B56" s="29"/>
      <c r="C56" s="29"/>
      <c r="D56" s="29"/>
      <c r="E56" s="29"/>
      <c r="F56" s="196" t="s">
        <v>46</v>
      </c>
    </row>
    <row r="57" spans="1:6" s="100" customFormat="1" ht="27.75">
      <c r="A57" s="213" t="s">
        <v>53</v>
      </c>
      <c r="B57" s="29"/>
      <c r="C57" s="29"/>
      <c r="D57" s="29"/>
      <c r="E57" s="29"/>
      <c r="F57" s="196"/>
    </row>
    <row r="58" spans="1:6" s="100" customFormat="1" ht="27.75">
      <c r="A58" s="200" t="s">
        <v>54</v>
      </c>
      <c r="B58" s="29">
        <v>4501061</v>
      </c>
      <c r="C58" s="29">
        <v>4654634</v>
      </c>
      <c r="D58" s="29">
        <v>4896546</v>
      </c>
      <c r="E58" s="29">
        <f aca="true" t="shared" si="4" ref="E58:E71">D58-C58</f>
        <v>241912</v>
      </c>
      <c r="F58" s="198">
        <f aca="true" t="shared" si="5" ref="F58:F71">IF(ISBLANK(E58),"  ",IF(C58&gt;0,E58/C58,IF(E58&gt;0,1,0)))</f>
        <v>0.05197229255834079</v>
      </c>
    </row>
    <row r="59" spans="1:6" s="100" customFormat="1" ht="27.75">
      <c r="A59" s="201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198">
        <f t="shared" si="5"/>
        <v>0</v>
      </c>
    </row>
    <row r="60" spans="1:6" s="100" customFormat="1" ht="27.75">
      <c r="A60" s="201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198">
        <f t="shared" si="5"/>
        <v>0</v>
      </c>
    </row>
    <row r="61" spans="1:6" s="100" customFormat="1" ht="27.75">
      <c r="A61" s="201" t="s">
        <v>57</v>
      </c>
      <c r="B61" s="38">
        <v>795407</v>
      </c>
      <c r="C61" s="38">
        <v>958937</v>
      </c>
      <c r="D61" s="38">
        <v>774275</v>
      </c>
      <c r="E61" s="38">
        <f t="shared" si="4"/>
        <v>-184662</v>
      </c>
      <c r="F61" s="198">
        <f t="shared" si="5"/>
        <v>-0.1925694805811018</v>
      </c>
    </row>
    <row r="62" spans="1:6" s="100" customFormat="1" ht="27.75">
      <c r="A62" s="201" t="s">
        <v>58</v>
      </c>
      <c r="B62" s="38">
        <v>938543</v>
      </c>
      <c r="C62" s="38">
        <v>1564797</v>
      </c>
      <c r="D62" s="38">
        <v>1361087</v>
      </c>
      <c r="E62" s="38">
        <f t="shared" si="4"/>
        <v>-203710</v>
      </c>
      <c r="F62" s="198">
        <f t="shared" si="5"/>
        <v>-0.13018302054515699</v>
      </c>
    </row>
    <row r="63" spans="1:6" s="100" customFormat="1" ht="27.75">
      <c r="A63" s="201" t="s">
        <v>59</v>
      </c>
      <c r="B63" s="38">
        <v>6155834</v>
      </c>
      <c r="C63" s="38">
        <v>5800958</v>
      </c>
      <c r="D63" s="38">
        <v>5757567</v>
      </c>
      <c r="E63" s="38">
        <f t="shared" si="4"/>
        <v>-43391</v>
      </c>
      <c r="F63" s="198">
        <f t="shared" si="5"/>
        <v>-0.007479971411618564</v>
      </c>
    </row>
    <row r="64" spans="1:6" s="100" customFormat="1" ht="27.75">
      <c r="A64" s="201" t="s">
        <v>60</v>
      </c>
      <c r="B64" s="38">
        <v>378624</v>
      </c>
      <c r="C64" s="38">
        <v>250000</v>
      </c>
      <c r="D64" s="38">
        <v>250000</v>
      </c>
      <c r="E64" s="38">
        <f t="shared" si="4"/>
        <v>0</v>
      </c>
      <c r="F64" s="198">
        <f t="shared" si="5"/>
        <v>0</v>
      </c>
    </row>
    <row r="65" spans="1:6" s="100" customFormat="1" ht="27.75">
      <c r="A65" s="201" t="s">
        <v>61</v>
      </c>
      <c r="B65" s="38">
        <v>2011264</v>
      </c>
      <c r="C65" s="38">
        <v>1852706</v>
      </c>
      <c r="D65" s="38">
        <v>2232397</v>
      </c>
      <c r="E65" s="38">
        <f t="shared" si="4"/>
        <v>379691</v>
      </c>
      <c r="F65" s="198">
        <f t="shared" si="5"/>
        <v>0.20493861411362624</v>
      </c>
    </row>
    <row r="66" spans="1:9" s="102" customFormat="1" ht="27.75">
      <c r="A66" s="216" t="s">
        <v>62</v>
      </c>
      <c r="B66" s="44">
        <v>14780733</v>
      </c>
      <c r="C66" s="44">
        <v>15082032</v>
      </c>
      <c r="D66" s="44">
        <v>15271872</v>
      </c>
      <c r="E66" s="44">
        <f t="shared" si="4"/>
        <v>189840</v>
      </c>
      <c r="F66" s="206">
        <f t="shared" si="5"/>
        <v>0.012587163321228863</v>
      </c>
      <c r="G66" s="103"/>
      <c r="H66" s="103"/>
      <c r="I66" s="103"/>
    </row>
    <row r="67" spans="1:6" s="100" customFormat="1" ht="27.75">
      <c r="A67" s="201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198">
        <f t="shared" si="5"/>
        <v>0</v>
      </c>
    </row>
    <row r="68" spans="1:6" s="100" customFormat="1" ht="27.75">
      <c r="A68" s="201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198">
        <f t="shared" si="5"/>
        <v>0</v>
      </c>
    </row>
    <row r="69" spans="1:6" s="100" customFormat="1" ht="27.75">
      <c r="A69" s="201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198">
        <f t="shared" si="5"/>
        <v>0</v>
      </c>
    </row>
    <row r="70" spans="1:6" s="100" customFormat="1" ht="27.75">
      <c r="A70" s="201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198">
        <f t="shared" si="5"/>
        <v>0</v>
      </c>
    </row>
    <row r="71" spans="1:9" s="102" customFormat="1" ht="27.75">
      <c r="A71" s="217" t="s">
        <v>67</v>
      </c>
      <c r="B71" s="61">
        <v>14780733</v>
      </c>
      <c r="C71" s="61">
        <v>15082032</v>
      </c>
      <c r="D71" s="61">
        <v>15271872</v>
      </c>
      <c r="E71" s="61">
        <f t="shared" si="4"/>
        <v>189840</v>
      </c>
      <c r="F71" s="206">
        <f t="shared" si="5"/>
        <v>0.012587163321228863</v>
      </c>
      <c r="G71" s="103"/>
      <c r="H71" s="103"/>
      <c r="I71" s="103"/>
    </row>
    <row r="72" spans="1:6" s="100" customFormat="1" ht="27.75">
      <c r="A72" s="215"/>
      <c r="B72" s="29"/>
      <c r="C72" s="29"/>
      <c r="D72" s="29"/>
      <c r="E72" s="29"/>
      <c r="F72" s="196"/>
    </row>
    <row r="73" spans="1:6" s="100" customFormat="1" ht="27.75">
      <c r="A73" s="213" t="s">
        <v>68</v>
      </c>
      <c r="B73" s="29"/>
      <c r="C73" s="29"/>
      <c r="D73" s="29"/>
      <c r="E73" s="29"/>
      <c r="F73" s="196"/>
    </row>
    <row r="74" spans="1:6" s="100" customFormat="1" ht="27.75">
      <c r="A74" s="200" t="s">
        <v>69</v>
      </c>
      <c r="B74" s="33">
        <v>7151809</v>
      </c>
      <c r="C74" s="33">
        <v>8100400</v>
      </c>
      <c r="D74" s="33">
        <v>7749116</v>
      </c>
      <c r="E74" s="29">
        <f aca="true" t="shared" si="6" ref="E74:E92">D74-C74</f>
        <v>-351284</v>
      </c>
      <c r="F74" s="198">
        <f aca="true" t="shared" si="7" ref="F74:F92">IF(ISBLANK(E74),"  ",IF(C74&gt;0,E74/C74,IF(E74&gt;0,1,0)))</f>
        <v>-0.04336625351834477</v>
      </c>
    </row>
    <row r="75" spans="1:6" s="100" customFormat="1" ht="27.75">
      <c r="A75" s="201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198">
        <f t="shared" si="7"/>
        <v>0</v>
      </c>
    </row>
    <row r="76" spans="1:6" s="100" customFormat="1" ht="27.75">
      <c r="A76" s="201" t="s">
        <v>71</v>
      </c>
      <c r="B76" s="29">
        <v>3097441</v>
      </c>
      <c r="C76" s="29">
        <v>3296597</v>
      </c>
      <c r="D76" s="29">
        <v>3447393</v>
      </c>
      <c r="E76" s="38">
        <f t="shared" si="6"/>
        <v>150796</v>
      </c>
      <c r="F76" s="198">
        <f t="shared" si="7"/>
        <v>0.04574292823781615</v>
      </c>
    </row>
    <row r="77" spans="1:9" s="102" customFormat="1" ht="27.75">
      <c r="A77" s="216" t="s">
        <v>72</v>
      </c>
      <c r="B77" s="61">
        <v>10249250</v>
      </c>
      <c r="C77" s="61">
        <v>11396997</v>
      </c>
      <c r="D77" s="61">
        <v>11196509</v>
      </c>
      <c r="E77" s="44">
        <f t="shared" si="6"/>
        <v>-200488</v>
      </c>
      <c r="F77" s="206">
        <f t="shared" si="7"/>
        <v>-0.01759130058558408</v>
      </c>
      <c r="G77" s="103"/>
      <c r="H77" s="103"/>
      <c r="I77" s="103"/>
    </row>
    <row r="78" spans="1:6" s="100" customFormat="1" ht="27.75">
      <c r="A78" s="201" t="s">
        <v>73</v>
      </c>
      <c r="B78" s="36">
        <v>37080</v>
      </c>
      <c r="C78" s="36">
        <v>43700</v>
      </c>
      <c r="D78" s="36">
        <v>44200</v>
      </c>
      <c r="E78" s="38">
        <f t="shared" si="6"/>
        <v>500</v>
      </c>
      <c r="F78" s="198">
        <f t="shared" si="7"/>
        <v>0.011441647597254004</v>
      </c>
    </row>
    <row r="79" spans="1:6" s="100" customFormat="1" ht="27.75">
      <c r="A79" s="201" t="s">
        <v>74</v>
      </c>
      <c r="B79" s="33">
        <v>1829020</v>
      </c>
      <c r="C79" s="33">
        <v>1810564</v>
      </c>
      <c r="D79" s="33">
        <v>2132213</v>
      </c>
      <c r="E79" s="38">
        <f t="shared" si="6"/>
        <v>321649</v>
      </c>
      <c r="F79" s="198">
        <f t="shared" si="7"/>
        <v>0.17765127330489283</v>
      </c>
    </row>
    <row r="80" spans="1:6" s="100" customFormat="1" ht="27.75">
      <c r="A80" s="201" t="s">
        <v>75</v>
      </c>
      <c r="B80" s="29">
        <v>50309</v>
      </c>
      <c r="C80" s="29">
        <v>180481</v>
      </c>
      <c r="D80" s="29">
        <v>224100</v>
      </c>
      <c r="E80" s="38">
        <f t="shared" si="6"/>
        <v>43619</v>
      </c>
      <c r="F80" s="198">
        <f t="shared" si="7"/>
        <v>0.24168194990054354</v>
      </c>
    </row>
    <row r="81" spans="1:9" s="102" customFormat="1" ht="27.75">
      <c r="A81" s="204" t="s">
        <v>76</v>
      </c>
      <c r="B81" s="61">
        <v>1916409</v>
      </c>
      <c r="C81" s="61">
        <v>2034745</v>
      </c>
      <c r="D81" s="61">
        <v>2400513</v>
      </c>
      <c r="E81" s="44">
        <f t="shared" si="6"/>
        <v>365768</v>
      </c>
      <c r="F81" s="206">
        <f t="shared" si="7"/>
        <v>0.17976110028529374</v>
      </c>
      <c r="G81" s="103"/>
      <c r="H81" s="103"/>
      <c r="I81" s="103"/>
    </row>
    <row r="82" spans="1:6" s="100" customFormat="1" ht="27.75">
      <c r="A82" s="201" t="s">
        <v>77</v>
      </c>
      <c r="B82" s="29">
        <v>81672</v>
      </c>
      <c r="C82" s="29">
        <v>41000</v>
      </c>
      <c r="D82" s="29">
        <v>11000</v>
      </c>
      <c r="E82" s="38">
        <f t="shared" si="6"/>
        <v>-30000</v>
      </c>
      <c r="F82" s="198">
        <f t="shared" si="7"/>
        <v>-0.7317073170731707</v>
      </c>
    </row>
    <row r="83" spans="1:6" s="100" customFormat="1" ht="27.75">
      <c r="A83" s="201" t="s">
        <v>78</v>
      </c>
      <c r="B83" s="38">
        <v>631935</v>
      </c>
      <c r="C83" s="38">
        <v>827782</v>
      </c>
      <c r="D83" s="38">
        <v>886342</v>
      </c>
      <c r="E83" s="38">
        <f t="shared" si="6"/>
        <v>58560</v>
      </c>
      <c r="F83" s="198">
        <f t="shared" si="7"/>
        <v>0.07074326332295218</v>
      </c>
    </row>
    <row r="84" spans="1:6" s="100" customFormat="1" ht="27.75">
      <c r="A84" s="201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198">
        <f t="shared" si="7"/>
        <v>0</v>
      </c>
    </row>
    <row r="85" spans="1:6" s="100" customFormat="1" ht="27.75">
      <c r="A85" s="201" t="s">
        <v>80</v>
      </c>
      <c r="B85" s="38">
        <v>1901467</v>
      </c>
      <c r="C85" s="38">
        <v>773508</v>
      </c>
      <c r="D85" s="38">
        <v>773508</v>
      </c>
      <c r="E85" s="38">
        <f t="shared" si="6"/>
        <v>0</v>
      </c>
      <c r="F85" s="198">
        <f t="shared" si="7"/>
        <v>0</v>
      </c>
    </row>
    <row r="86" spans="1:9" s="102" customFormat="1" ht="27.75">
      <c r="A86" s="204" t="s">
        <v>81</v>
      </c>
      <c r="B86" s="44">
        <v>2615074</v>
      </c>
      <c r="C86" s="44">
        <v>1642290</v>
      </c>
      <c r="D86" s="44">
        <v>1670850</v>
      </c>
      <c r="E86" s="44">
        <f t="shared" si="6"/>
        <v>28560</v>
      </c>
      <c r="F86" s="206">
        <f t="shared" si="7"/>
        <v>0.01739035127778894</v>
      </c>
      <c r="G86" s="103"/>
      <c r="H86" s="103"/>
      <c r="I86" s="103"/>
    </row>
    <row r="87" spans="1:6" s="100" customFormat="1" ht="27.75">
      <c r="A87" s="201" t="s">
        <v>82</v>
      </c>
      <c r="B87" s="38">
        <v>0</v>
      </c>
      <c r="C87" s="38">
        <v>8000</v>
      </c>
      <c r="D87" s="38">
        <v>4000</v>
      </c>
      <c r="E87" s="38">
        <f t="shared" si="6"/>
        <v>-4000</v>
      </c>
      <c r="F87" s="198">
        <f t="shared" si="7"/>
        <v>-0.5</v>
      </c>
    </row>
    <row r="88" spans="1:6" s="100" customFormat="1" ht="27.75">
      <c r="A88" s="201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198">
        <f t="shared" si="7"/>
        <v>0</v>
      </c>
    </row>
    <row r="89" spans="1:6" s="100" customFormat="1" ht="27.75">
      <c r="A89" s="20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198">
        <f t="shared" si="7"/>
        <v>0</v>
      </c>
    </row>
    <row r="90" spans="1:9" s="102" customFormat="1" ht="27.75">
      <c r="A90" s="218" t="s">
        <v>85</v>
      </c>
      <c r="B90" s="61">
        <v>0</v>
      </c>
      <c r="C90" s="61">
        <v>8000</v>
      </c>
      <c r="D90" s="61">
        <v>4000</v>
      </c>
      <c r="E90" s="61">
        <f t="shared" si="6"/>
        <v>-4000</v>
      </c>
      <c r="F90" s="206">
        <f t="shared" si="7"/>
        <v>-0.5</v>
      </c>
      <c r="G90" s="103"/>
      <c r="H90" s="103"/>
      <c r="I90" s="103"/>
    </row>
    <row r="91" spans="1:6" s="100" customFormat="1" ht="27.75">
      <c r="A91" s="20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198">
        <f t="shared" si="7"/>
        <v>0</v>
      </c>
    </row>
    <row r="92" spans="1:6" s="102" customFormat="1" ht="28.5" thickBot="1">
      <c r="A92" s="219" t="s">
        <v>67</v>
      </c>
      <c r="B92" s="64">
        <v>14780733</v>
      </c>
      <c r="C92" s="64">
        <v>15082032</v>
      </c>
      <c r="D92" s="64">
        <v>15271872</v>
      </c>
      <c r="E92" s="64">
        <f t="shared" si="6"/>
        <v>189840</v>
      </c>
      <c r="F92" s="220">
        <f t="shared" si="7"/>
        <v>0.012587163321228863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80" zoomScaleNormal="80" zoomScalePageLayoutView="0" workbookViewId="0" topLeftCell="A4">
      <selection activeCell="G66" sqref="G66:I9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9" width="24.00390625" style="91" bestFit="1" customWidth="1"/>
    <col min="10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134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3934145</v>
      </c>
      <c r="C8" s="33">
        <v>3934145</v>
      </c>
      <c r="D8" s="33">
        <v>4016328</v>
      </c>
      <c r="E8" s="33">
        <f aca="true" t="shared" si="0" ref="E8:E29">D8-C8</f>
        <v>82183</v>
      </c>
      <c r="F8" s="34">
        <f aca="true" t="shared" si="1" ref="F8:F29">IF(ISBLANK(E8),"  ",IF(C8&gt;0,E8/C8,IF(E8&gt;0,1,0)))</f>
        <v>0.020889672343037687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186188.65</v>
      </c>
      <c r="C10" s="36">
        <v>214129</v>
      </c>
      <c r="D10" s="36">
        <v>207672</v>
      </c>
      <c r="E10" s="36">
        <f t="shared" si="0"/>
        <v>-6457</v>
      </c>
      <c r="F10" s="34">
        <f t="shared" si="1"/>
        <v>-0.03015471981842721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186188.65</v>
      </c>
      <c r="C12" s="38">
        <v>214129</v>
      </c>
      <c r="D12" s="38">
        <v>207672</v>
      </c>
      <c r="E12" s="36">
        <f t="shared" si="0"/>
        <v>-6457</v>
      </c>
      <c r="F12" s="34">
        <f t="shared" si="1"/>
        <v>-0.03015471981842721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4120333.65</v>
      </c>
      <c r="C35" s="44">
        <v>4148274</v>
      </c>
      <c r="D35" s="44">
        <v>4224000</v>
      </c>
      <c r="E35" s="44">
        <f>D35-C35</f>
        <v>75726</v>
      </c>
      <c r="F35" s="45">
        <f>IF(ISBLANK(E35),"  ",IF(C35&gt;0,E35/C35,IF(E35&gt;0,1,0)))</f>
        <v>0.01825482116176511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9288834.82</v>
      </c>
      <c r="C48" s="50">
        <v>9323847</v>
      </c>
      <c r="D48" s="50">
        <v>9541075</v>
      </c>
      <c r="E48" s="50">
        <f>D48-C48</f>
        <v>217228</v>
      </c>
      <c r="F48" s="45">
        <f>IF(ISBLANK(E48),"  ",IF(C48&gt;0,E48/C48,IF(E48&gt;0,1,0)))</f>
        <v>0.02329810860259719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13409168.47</v>
      </c>
      <c r="C54" s="50">
        <v>13472121</v>
      </c>
      <c r="D54" s="50">
        <v>13765075</v>
      </c>
      <c r="E54" s="50">
        <f>D54-C54</f>
        <v>292954</v>
      </c>
      <c r="F54" s="45">
        <f>IF(ISBLANK(E54),"  ",IF(C54&gt;0,E54/C54,IF(E54&gt;0,1,0)))</f>
        <v>0.02174520255570745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4601348.48</v>
      </c>
      <c r="C58" s="29">
        <v>5586530</v>
      </c>
      <c r="D58" s="29">
        <v>5994120.98</v>
      </c>
      <c r="E58" s="29">
        <f aca="true" t="shared" si="4" ref="E58:E71">D58-C58</f>
        <v>407590.98000000045</v>
      </c>
      <c r="F58" s="34">
        <f aca="true" t="shared" si="5" ref="F58:F71">IF(ISBLANK(E58),"  ",IF(C58&gt;0,E58/C58,IF(E58&gt;0,1,0)))</f>
        <v>0.07295959746031981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120297.19</v>
      </c>
      <c r="C60" s="38">
        <v>125289</v>
      </c>
      <c r="D60" s="38">
        <v>128581.43</v>
      </c>
      <c r="E60" s="38">
        <f t="shared" si="4"/>
        <v>3292.429999999993</v>
      </c>
      <c r="F60" s="34">
        <f t="shared" si="5"/>
        <v>0.0262786836833241</v>
      </c>
    </row>
    <row r="61" spans="1:6" s="100" customFormat="1" ht="26.25">
      <c r="A61" s="39" t="s">
        <v>57</v>
      </c>
      <c r="B61" s="38">
        <v>1281183.52</v>
      </c>
      <c r="C61" s="38">
        <v>1641144</v>
      </c>
      <c r="D61" s="38">
        <v>1561776.33</v>
      </c>
      <c r="E61" s="38">
        <f t="shared" si="4"/>
        <v>-79367.66999999993</v>
      </c>
      <c r="F61" s="34">
        <f t="shared" si="5"/>
        <v>-0.048361185855720114</v>
      </c>
    </row>
    <row r="62" spans="1:6" s="100" customFormat="1" ht="26.25">
      <c r="A62" s="39" t="s">
        <v>58</v>
      </c>
      <c r="B62" s="38">
        <v>1564926.67</v>
      </c>
      <c r="C62" s="38">
        <v>1482495</v>
      </c>
      <c r="D62" s="38">
        <v>1447943</v>
      </c>
      <c r="E62" s="38">
        <f t="shared" si="4"/>
        <v>-34552</v>
      </c>
      <c r="F62" s="34">
        <f t="shared" si="5"/>
        <v>-0.023306655334419342</v>
      </c>
    </row>
    <row r="63" spans="1:6" s="100" customFormat="1" ht="26.25">
      <c r="A63" s="39" t="s">
        <v>59</v>
      </c>
      <c r="B63" s="38">
        <v>4289726.3</v>
      </c>
      <c r="C63" s="38">
        <v>2819449</v>
      </c>
      <c r="D63" s="38">
        <v>2791163.41</v>
      </c>
      <c r="E63" s="38">
        <f t="shared" si="4"/>
        <v>-28285.58999999985</v>
      </c>
      <c r="F63" s="34">
        <f t="shared" si="5"/>
        <v>-0.010032311277841823</v>
      </c>
    </row>
    <row r="64" spans="1:6" s="100" customFormat="1" ht="26.25">
      <c r="A64" s="39" t="s">
        <v>60</v>
      </c>
      <c r="B64" s="38">
        <v>282395</v>
      </c>
      <c r="C64" s="38">
        <v>230000</v>
      </c>
      <c r="D64" s="38">
        <v>250000</v>
      </c>
      <c r="E64" s="38">
        <f t="shared" si="4"/>
        <v>20000</v>
      </c>
      <c r="F64" s="34">
        <f t="shared" si="5"/>
        <v>0.08695652173913043</v>
      </c>
    </row>
    <row r="65" spans="1:6" s="100" customFormat="1" ht="26.25">
      <c r="A65" s="39" t="s">
        <v>61</v>
      </c>
      <c r="B65" s="38">
        <v>1090237</v>
      </c>
      <c r="C65" s="38">
        <v>1325000</v>
      </c>
      <c r="D65" s="38">
        <v>1320237</v>
      </c>
      <c r="E65" s="38">
        <f t="shared" si="4"/>
        <v>-4763</v>
      </c>
      <c r="F65" s="34">
        <f t="shared" si="5"/>
        <v>-0.0035947169811320753</v>
      </c>
    </row>
    <row r="66" spans="1:9" s="102" customFormat="1" ht="26.25">
      <c r="A66" s="59" t="s">
        <v>62</v>
      </c>
      <c r="B66" s="44">
        <v>13230114.16</v>
      </c>
      <c r="C66" s="44">
        <v>13209907</v>
      </c>
      <c r="D66" s="44">
        <v>13493822.15</v>
      </c>
      <c r="E66" s="44">
        <f t="shared" si="4"/>
        <v>283915.1500000004</v>
      </c>
      <c r="F66" s="45">
        <f t="shared" si="5"/>
        <v>0.02149259264277942</v>
      </c>
      <c r="G66" s="103">
        <f>SUM(B58:B65)</f>
        <v>13230114.16</v>
      </c>
      <c r="H66" s="103">
        <f>SUM(C58:C65)</f>
        <v>13209907</v>
      </c>
      <c r="I66" s="103">
        <f>SUM(D58:D65)</f>
        <v>13493822.15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179053.51</v>
      </c>
      <c r="C68" s="38">
        <v>262214</v>
      </c>
      <c r="D68" s="38">
        <v>271252.79</v>
      </c>
      <c r="E68" s="38">
        <f t="shared" si="4"/>
        <v>9038.789999999979</v>
      </c>
      <c r="F68" s="34">
        <f t="shared" si="5"/>
        <v>0.034471042736085714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9" s="102" customFormat="1" ht="26.25">
      <c r="A71" s="60" t="s">
        <v>67</v>
      </c>
      <c r="B71" s="61">
        <v>13409167.67</v>
      </c>
      <c r="C71" s="61">
        <v>13472121</v>
      </c>
      <c r="D71" s="61">
        <v>13765074.94</v>
      </c>
      <c r="E71" s="61">
        <f t="shared" si="4"/>
        <v>292953.9399999995</v>
      </c>
      <c r="F71" s="45">
        <f t="shared" si="5"/>
        <v>0.0217451981020657</v>
      </c>
      <c r="G71" s="103">
        <f>SUM(B66:B70)</f>
        <v>13409167.67</v>
      </c>
      <c r="H71" s="103">
        <f>SUM(C66:C70)</f>
        <v>13472121</v>
      </c>
      <c r="I71" s="103">
        <f>SUM(D66:D70)</f>
        <v>13765074.94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7266383.859999999</v>
      </c>
      <c r="C74" s="33">
        <v>7316988</v>
      </c>
      <c r="D74" s="33">
        <v>7367094.1</v>
      </c>
      <c r="E74" s="29">
        <f aca="true" t="shared" si="6" ref="E74:E92">D74-C74</f>
        <v>50106.09999999963</v>
      </c>
      <c r="F74" s="34">
        <f aca="true" t="shared" si="7" ref="F74:F92">IF(ISBLANK(E74),"  ",IF(C74&gt;0,E74/C74,IF(E74&gt;0,1,0)))</f>
        <v>0.006847913376378317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2402202.19</v>
      </c>
      <c r="C76" s="29">
        <v>2714076</v>
      </c>
      <c r="D76" s="29">
        <v>2817337.18</v>
      </c>
      <c r="E76" s="38">
        <f t="shared" si="6"/>
        <v>103261.18000000017</v>
      </c>
      <c r="F76" s="34">
        <f t="shared" si="7"/>
        <v>0.0380465322268058</v>
      </c>
    </row>
    <row r="77" spans="1:9" s="102" customFormat="1" ht="26.25">
      <c r="A77" s="59" t="s">
        <v>72</v>
      </c>
      <c r="B77" s="61">
        <v>9668586.049999999</v>
      </c>
      <c r="C77" s="61">
        <v>10031064</v>
      </c>
      <c r="D77" s="61">
        <v>10184431.28</v>
      </c>
      <c r="E77" s="44">
        <f t="shared" si="6"/>
        <v>153367.27999999933</v>
      </c>
      <c r="F77" s="45">
        <f t="shared" si="7"/>
        <v>0.01528923352497794</v>
      </c>
      <c r="G77" s="103">
        <f>SUM(B74:B76)</f>
        <v>9668586.049999999</v>
      </c>
      <c r="H77" s="103">
        <f>SUM(C74:C76)</f>
        <v>10031064</v>
      </c>
      <c r="I77" s="103">
        <f>SUM(D74:D76)</f>
        <v>10184431.28</v>
      </c>
    </row>
    <row r="78" spans="1:6" s="100" customFormat="1" ht="26.25">
      <c r="A78" s="39" t="s">
        <v>73</v>
      </c>
      <c r="B78" s="36">
        <v>142871.19</v>
      </c>
      <c r="C78" s="36">
        <v>150000</v>
      </c>
      <c r="D78" s="36">
        <v>150000</v>
      </c>
      <c r="E78" s="38">
        <f t="shared" si="6"/>
        <v>0</v>
      </c>
      <c r="F78" s="34">
        <f t="shared" si="7"/>
        <v>0</v>
      </c>
    </row>
    <row r="79" spans="1:6" s="100" customFormat="1" ht="26.25">
      <c r="A79" s="39" t="s">
        <v>74</v>
      </c>
      <c r="B79" s="33">
        <v>1622909.68</v>
      </c>
      <c r="C79" s="33">
        <v>1543729</v>
      </c>
      <c r="D79" s="33">
        <v>1611193</v>
      </c>
      <c r="E79" s="38">
        <f t="shared" si="6"/>
        <v>67464</v>
      </c>
      <c r="F79" s="34">
        <f t="shared" si="7"/>
        <v>0.04370197100656916</v>
      </c>
    </row>
    <row r="80" spans="1:6" s="100" customFormat="1" ht="26.25">
      <c r="A80" s="39" t="s">
        <v>75</v>
      </c>
      <c r="B80" s="29">
        <v>116698.29</v>
      </c>
      <c r="C80" s="29">
        <v>100000</v>
      </c>
      <c r="D80" s="29">
        <v>100000</v>
      </c>
      <c r="E80" s="38">
        <f t="shared" si="6"/>
        <v>0</v>
      </c>
      <c r="F80" s="34">
        <f t="shared" si="7"/>
        <v>0</v>
      </c>
    </row>
    <row r="81" spans="1:9" s="102" customFormat="1" ht="26.25">
      <c r="A81" s="42" t="s">
        <v>76</v>
      </c>
      <c r="B81" s="61">
        <v>1882479.16</v>
      </c>
      <c r="C81" s="61">
        <v>1793729</v>
      </c>
      <c r="D81" s="61">
        <v>1861193</v>
      </c>
      <c r="E81" s="44">
        <f t="shared" si="6"/>
        <v>67464</v>
      </c>
      <c r="F81" s="45">
        <f t="shared" si="7"/>
        <v>0.03761103265877956</v>
      </c>
      <c r="G81" s="103">
        <f>SUM(B78:B80)</f>
        <v>1882479.16</v>
      </c>
      <c r="H81" s="103">
        <f>SUM(C78:C80)</f>
        <v>1793729</v>
      </c>
      <c r="I81" s="103">
        <f>SUM(D78:D80)</f>
        <v>1861193</v>
      </c>
    </row>
    <row r="82" spans="1:6" s="100" customFormat="1" ht="26.25">
      <c r="A82" s="39" t="s">
        <v>77</v>
      </c>
      <c r="B82" s="29">
        <v>528806.01</v>
      </c>
      <c r="C82" s="29">
        <v>605291</v>
      </c>
      <c r="D82" s="29">
        <v>609241</v>
      </c>
      <c r="E82" s="38">
        <f t="shared" si="6"/>
        <v>3950</v>
      </c>
      <c r="F82" s="34">
        <f t="shared" si="7"/>
        <v>0.006525786770330304</v>
      </c>
    </row>
    <row r="83" spans="1:6" s="100" customFormat="1" ht="26.25">
      <c r="A83" s="39" t="s">
        <v>78</v>
      </c>
      <c r="B83" s="38">
        <v>870976.89</v>
      </c>
      <c r="C83" s="38">
        <v>479823</v>
      </c>
      <c r="D83" s="38">
        <v>538956.87</v>
      </c>
      <c r="E83" s="38">
        <f t="shared" si="6"/>
        <v>59133.869999999995</v>
      </c>
      <c r="F83" s="34">
        <f t="shared" si="7"/>
        <v>0.12324100762156044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179053.51</v>
      </c>
      <c r="C85" s="38">
        <v>262214</v>
      </c>
      <c r="D85" s="38">
        <v>271252.79</v>
      </c>
      <c r="E85" s="38">
        <f t="shared" si="6"/>
        <v>9038.789999999979</v>
      </c>
      <c r="F85" s="34">
        <f t="shared" si="7"/>
        <v>0.034471042736085714</v>
      </c>
    </row>
    <row r="86" spans="1:9" s="102" customFormat="1" ht="26.25">
      <c r="A86" s="42" t="s">
        <v>81</v>
      </c>
      <c r="B86" s="44">
        <v>1578836.41</v>
      </c>
      <c r="C86" s="44">
        <v>1347328</v>
      </c>
      <c r="D86" s="44">
        <v>1419450.6600000001</v>
      </c>
      <c r="E86" s="44">
        <f t="shared" si="6"/>
        <v>72122.66000000015</v>
      </c>
      <c r="F86" s="45">
        <f t="shared" si="7"/>
        <v>0.0535301426230288</v>
      </c>
      <c r="G86" s="103">
        <f>SUM(B82:B85)</f>
        <v>1578836.41</v>
      </c>
      <c r="H86" s="103">
        <f>SUM(C82:C85)</f>
        <v>1347328</v>
      </c>
      <c r="I86" s="103">
        <f>SUM(D82:D85)</f>
        <v>1419450.6600000001</v>
      </c>
    </row>
    <row r="87" spans="1:6" s="100" customFormat="1" ht="26.25">
      <c r="A87" s="39" t="s">
        <v>82</v>
      </c>
      <c r="B87" s="38">
        <v>15205.18</v>
      </c>
      <c r="C87" s="38">
        <v>0</v>
      </c>
      <c r="D87" s="38">
        <v>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264060.87</v>
      </c>
      <c r="C88" s="38">
        <v>300000</v>
      </c>
      <c r="D88" s="38">
        <v>300000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9" s="102" customFormat="1" ht="26.25">
      <c r="A90" s="62" t="s">
        <v>85</v>
      </c>
      <c r="B90" s="61">
        <v>279266.05</v>
      </c>
      <c r="C90" s="61">
        <v>300000</v>
      </c>
      <c r="D90" s="61">
        <v>300000</v>
      </c>
      <c r="E90" s="61">
        <f t="shared" si="6"/>
        <v>0</v>
      </c>
      <c r="F90" s="45">
        <f t="shared" si="7"/>
        <v>0</v>
      </c>
      <c r="G90" s="103">
        <f>SUM(B87:B89)</f>
        <v>279266.05</v>
      </c>
      <c r="H90" s="103">
        <f>SUM(C87:C89)</f>
        <v>300000</v>
      </c>
      <c r="I90" s="103">
        <f>SUM(D87:D89)</f>
        <v>300000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9" s="102" customFormat="1" ht="27" thickBot="1">
      <c r="A92" s="63" t="s">
        <v>67</v>
      </c>
      <c r="B92" s="64">
        <v>13409167.669999998</v>
      </c>
      <c r="C92" s="64">
        <v>13472121</v>
      </c>
      <c r="D92" s="64">
        <v>13765074.94</v>
      </c>
      <c r="E92" s="64">
        <f t="shared" si="6"/>
        <v>292953.9399999995</v>
      </c>
      <c r="F92" s="65">
        <f t="shared" si="7"/>
        <v>0.0217451981020657</v>
      </c>
      <c r="G92" s="102">
        <f>SUM(G74:G91)</f>
        <v>13409167.67</v>
      </c>
      <c r="H92" s="102">
        <f>SUM(H74:H91)</f>
        <v>13472121</v>
      </c>
      <c r="I92" s="102">
        <f>SUM(I74:I91)</f>
        <v>13765074.94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L20" sqref="L20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9" width="21.00390625" style="91" bestFit="1" customWidth="1"/>
    <col min="10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132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3387352</v>
      </c>
      <c r="C8" s="33">
        <v>3387352</v>
      </c>
      <c r="D8" s="33">
        <v>3448222</v>
      </c>
      <c r="E8" s="33">
        <f aca="true" t="shared" si="0" ref="E8:E29">D8-C8</f>
        <v>60870</v>
      </c>
      <c r="F8" s="34">
        <f aca="true" t="shared" si="1" ref="F8:F29">IF(ISBLANK(E8),"  ",IF(C8&gt;0,E8/C8,IF(E8&gt;0,1,0)))</f>
        <v>0.01796978879077226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1720040</v>
      </c>
      <c r="C10" s="36">
        <v>1978775</v>
      </c>
      <c r="D10" s="36">
        <v>1807003</v>
      </c>
      <c r="E10" s="36">
        <f t="shared" si="0"/>
        <v>-171772</v>
      </c>
      <c r="F10" s="34">
        <f t="shared" si="1"/>
        <v>-0.08680724185417746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50792</v>
      </c>
      <c r="C12" s="38">
        <v>58775</v>
      </c>
      <c r="D12" s="38">
        <v>57003</v>
      </c>
      <c r="E12" s="36">
        <f t="shared" si="0"/>
        <v>-1772</v>
      </c>
      <c r="F12" s="34">
        <f t="shared" si="1"/>
        <v>-0.030148872820076562</v>
      </c>
    </row>
    <row r="13" spans="1:6" s="100" customFormat="1" ht="26.25">
      <c r="A13" s="39" t="s">
        <v>17</v>
      </c>
      <c r="B13" s="38">
        <v>749248</v>
      </c>
      <c r="C13" s="38">
        <v>1000000</v>
      </c>
      <c r="D13" s="38">
        <v>1000000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920000</v>
      </c>
      <c r="C17" s="38">
        <v>920000</v>
      </c>
      <c r="D17" s="38">
        <v>750000</v>
      </c>
      <c r="E17" s="36">
        <f t="shared" si="0"/>
        <v>-170000</v>
      </c>
      <c r="F17" s="34">
        <f t="shared" si="1"/>
        <v>-0.18478260869565216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5107392</v>
      </c>
      <c r="C35" s="44">
        <v>5366127</v>
      </c>
      <c r="D35" s="44">
        <v>5255225</v>
      </c>
      <c r="E35" s="44">
        <f>D35-C35</f>
        <v>-110902</v>
      </c>
      <c r="F35" s="45">
        <f>IF(ISBLANK(E35),"  ",IF(C35&gt;0,E35/C35,IF(E35&gt;0,1,0)))</f>
        <v>-0.020667047201827313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0</v>
      </c>
      <c r="C48" s="50">
        <v>0</v>
      </c>
      <c r="D48" s="50">
        <v>0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3654209</v>
      </c>
      <c r="C50" s="54">
        <v>3654209</v>
      </c>
      <c r="D50" s="54">
        <v>3654209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8761601</v>
      </c>
      <c r="C54" s="50">
        <v>9020336</v>
      </c>
      <c r="D54" s="50">
        <v>8909434</v>
      </c>
      <c r="E54" s="50">
        <f>D54-C54</f>
        <v>-110902</v>
      </c>
      <c r="F54" s="45">
        <f>IF(ISBLANK(E54),"  ",IF(C54&gt;0,E54/C54,IF(E54&gt;0,1,0)))</f>
        <v>-0.012294663968171474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2360550</v>
      </c>
      <c r="C59" s="38">
        <v>2508977</v>
      </c>
      <c r="D59" s="38">
        <v>2526348</v>
      </c>
      <c r="E59" s="38">
        <f t="shared" si="4"/>
        <v>17371</v>
      </c>
      <c r="F59" s="34">
        <f t="shared" si="5"/>
        <v>0.006923538956315662</v>
      </c>
    </row>
    <row r="60" spans="1:6" s="100" customFormat="1" ht="26.25">
      <c r="A60" s="39" t="s">
        <v>56</v>
      </c>
      <c r="B60" s="38">
        <v>3657442</v>
      </c>
      <c r="C60" s="38">
        <v>3833772</v>
      </c>
      <c r="D60" s="38">
        <v>3615801</v>
      </c>
      <c r="E60" s="38">
        <f t="shared" si="4"/>
        <v>-217971</v>
      </c>
      <c r="F60" s="34">
        <f t="shared" si="5"/>
        <v>-0.05685549375393216</v>
      </c>
    </row>
    <row r="61" spans="1:6" s="100" customFormat="1" ht="26.25">
      <c r="A61" s="39" t="s">
        <v>57</v>
      </c>
      <c r="B61" s="38">
        <v>50792</v>
      </c>
      <c r="C61" s="38">
        <v>58775</v>
      </c>
      <c r="D61" s="38">
        <v>57003</v>
      </c>
      <c r="E61" s="38">
        <f t="shared" si="4"/>
        <v>-1772</v>
      </c>
      <c r="F61" s="34">
        <f t="shared" si="5"/>
        <v>-0.030148872820076562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1578443</v>
      </c>
      <c r="C63" s="38">
        <v>1529072</v>
      </c>
      <c r="D63" s="38">
        <v>1733282</v>
      </c>
      <c r="E63" s="38">
        <f t="shared" si="4"/>
        <v>204210</v>
      </c>
      <c r="F63" s="34">
        <f t="shared" si="5"/>
        <v>0.1335515920767629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1114374</v>
      </c>
      <c r="C65" s="38">
        <v>1089740</v>
      </c>
      <c r="D65" s="38">
        <v>977000</v>
      </c>
      <c r="E65" s="38">
        <f t="shared" si="4"/>
        <v>-112740</v>
      </c>
      <c r="F65" s="34">
        <f t="shared" si="5"/>
        <v>-0.10345587020757245</v>
      </c>
    </row>
    <row r="66" spans="1:9" s="102" customFormat="1" ht="26.25">
      <c r="A66" s="59" t="s">
        <v>62</v>
      </c>
      <c r="B66" s="44">
        <v>8761601</v>
      </c>
      <c r="C66" s="44">
        <v>9020336</v>
      </c>
      <c r="D66" s="44">
        <v>8909434</v>
      </c>
      <c r="E66" s="44">
        <f t="shared" si="4"/>
        <v>-110902</v>
      </c>
      <c r="F66" s="45">
        <f t="shared" si="5"/>
        <v>-0.012294663968171474</v>
      </c>
      <c r="G66" s="103"/>
      <c r="H66" s="103"/>
      <c r="I66" s="103"/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9" s="102" customFormat="1" ht="26.25">
      <c r="A71" s="60" t="s">
        <v>67</v>
      </c>
      <c r="B71" s="61">
        <v>8761601</v>
      </c>
      <c r="C71" s="61">
        <v>9020336</v>
      </c>
      <c r="D71" s="61">
        <v>8909434</v>
      </c>
      <c r="E71" s="61">
        <f t="shared" si="4"/>
        <v>-110902</v>
      </c>
      <c r="F71" s="45">
        <f t="shared" si="5"/>
        <v>-0.012294663968171474</v>
      </c>
      <c r="G71" s="103"/>
      <c r="H71" s="103"/>
      <c r="I71" s="103"/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4142598</v>
      </c>
      <c r="C74" s="33">
        <v>4346741</v>
      </c>
      <c r="D74" s="33">
        <v>4266666</v>
      </c>
      <c r="E74" s="29">
        <f aca="true" t="shared" si="6" ref="E74:E92">D74-C74</f>
        <v>-80075</v>
      </c>
      <c r="F74" s="34">
        <f aca="true" t="shared" si="7" ref="F74:F92">IF(ISBLANK(E74),"  ",IF(C74&gt;0,E74/C74,IF(E74&gt;0,1,0)))</f>
        <v>-0.01842184754049068</v>
      </c>
    </row>
    <row r="75" spans="1:6" s="100" customFormat="1" ht="26.25">
      <c r="A75" s="39" t="s">
        <v>70</v>
      </c>
      <c r="B75" s="36">
        <v>85213</v>
      </c>
      <c r="C75" s="36">
        <v>33500</v>
      </c>
      <c r="D75" s="36">
        <v>51500</v>
      </c>
      <c r="E75" s="38">
        <f t="shared" si="6"/>
        <v>18000</v>
      </c>
      <c r="F75" s="34">
        <f t="shared" si="7"/>
        <v>0.5373134328358209</v>
      </c>
    </row>
    <row r="76" spans="1:6" s="100" customFormat="1" ht="26.25">
      <c r="A76" s="39" t="s">
        <v>71</v>
      </c>
      <c r="B76" s="29">
        <v>1483268</v>
      </c>
      <c r="C76" s="29">
        <v>1950119</v>
      </c>
      <c r="D76" s="29">
        <v>2008099</v>
      </c>
      <c r="E76" s="38">
        <f t="shared" si="6"/>
        <v>57980</v>
      </c>
      <c r="F76" s="34">
        <f t="shared" si="7"/>
        <v>0.029731518948330846</v>
      </c>
    </row>
    <row r="77" spans="1:9" s="102" customFormat="1" ht="26.25">
      <c r="A77" s="59" t="s">
        <v>72</v>
      </c>
      <c r="B77" s="61">
        <v>5711079</v>
      </c>
      <c r="C77" s="61">
        <v>6330360</v>
      </c>
      <c r="D77" s="61">
        <v>6326265</v>
      </c>
      <c r="E77" s="44">
        <f t="shared" si="6"/>
        <v>-4095</v>
      </c>
      <c r="F77" s="45">
        <f t="shared" si="7"/>
        <v>-0.0006468826417454931</v>
      </c>
      <c r="G77" s="103"/>
      <c r="H77" s="103"/>
      <c r="I77" s="103"/>
    </row>
    <row r="78" spans="1:6" s="100" customFormat="1" ht="26.25">
      <c r="A78" s="39" t="s">
        <v>73</v>
      </c>
      <c r="B78" s="36">
        <v>142507</v>
      </c>
      <c r="C78" s="36">
        <v>155239</v>
      </c>
      <c r="D78" s="36">
        <v>121843</v>
      </c>
      <c r="E78" s="38">
        <f t="shared" si="6"/>
        <v>-33396</v>
      </c>
      <c r="F78" s="34">
        <f t="shared" si="7"/>
        <v>-0.2151263535580621</v>
      </c>
    </row>
    <row r="79" spans="1:6" s="100" customFormat="1" ht="26.25">
      <c r="A79" s="39" t="s">
        <v>74</v>
      </c>
      <c r="B79" s="33">
        <v>423969</v>
      </c>
      <c r="C79" s="33">
        <v>792773</v>
      </c>
      <c r="D79" s="33">
        <v>377500</v>
      </c>
      <c r="E79" s="38">
        <f t="shared" si="6"/>
        <v>-415273</v>
      </c>
      <c r="F79" s="34">
        <f t="shared" si="7"/>
        <v>-0.5238233390894997</v>
      </c>
    </row>
    <row r="80" spans="1:6" s="100" customFormat="1" ht="26.25">
      <c r="A80" s="39" t="s">
        <v>75</v>
      </c>
      <c r="B80" s="29">
        <v>119282</v>
      </c>
      <c r="C80" s="29">
        <v>114388</v>
      </c>
      <c r="D80" s="29">
        <v>116888</v>
      </c>
      <c r="E80" s="38">
        <f t="shared" si="6"/>
        <v>2500</v>
      </c>
      <c r="F80" s="34">
        <f t="shared" si="7"/>
        <v>0.02185543938175333</v>
      </c>
    </row>
    <row r="81" spans="1:9" s="102" customFormat="1" ht="26.25">
      <c r="A81" s="42" t="s">
        <v>76</v>
      </c>
      <c r="B81" s="61">
        <v>685758</v>
      </c>
      <c r="C81" s="61">
        <v>1062400</v>
      </c>
      <c r="D81" s="61">
        <v>616231</v>
      </c>
      <c r="E81" s="44">
        <f t="shared" si="6"/>
        <v>-446169</v>
      </c>
      <c r="F81" s="45">
        <f t="shared" si="7"/>
        <v>-0.4199632906626506</v>
      </c>
      <c r="G81" s="103"/>
      <c r="H81" s="103"/>
      <c r="I81" s="103"/>
    </row>
    <row r="82" spans="1:6" s="100" customFormat="1" ht="26.25">
      <c r="A82" s="39" t="s">
        <v>77</v>
      </c>
      <c r="B82" s="29">
        <v>2950</v>
      </c>
      <c r="C82" s="29">
        <v>23638</v>
      </c>
      <c r="D82" s="29">
        <v>33000</v>
      </c>
      <c r="E82" s="38">
        <f t="shared" si="6"/>
        <v>9362</v>
      </c>
      <c r="F82" s="34">
        <f t="shared" si="7"/>
        <v>0.3960571960402741</v>
      </c>
    </row>
    <row r="83" spans="1:6" s="100" customFormat="1" ht="26.25">
      <c r="A83" s="39" t="s">
        <v>78</v>
      </c>
      <c r="B83" s="38">
        <v>584952</v>
      </c>
      <c r="C83" s="38">
        <v>639874</v>
      </c>
      <c r="D83" s="38">
        <v>793200</v>
      </c>
      <c r="E83" s="38">
        <f t="shared" si="6"/>
        <v>153326</v>
      </c>
      <c r="F83" s="34">
        <f t="shared" si="7"/>
        <v>0.23961905000046885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1259869</v>
      </c>
      <c r="C85" s="38">
        <v>900000</v>
      </c>
      <c r="D85" s="38">
        <v>1115738</v>
      </c>
      <c r="E85" s="38">
        <f t="shared" si="6"/>
        <v>215738</v>
      </c>
      <c r="F85" s="34">
        <f t="shared" si="7"/>
        <v>0.2397088888888889</v>
      </c>
    </row>
    <row r="86" spans="1:9" s="102" customFormat="1" ht="26.25">
      <c r="A86" s="42" t="s">
        <v>81</v>
      </c>
      <c r="B86" s="44">
        <v>1847771</v>
      </c>
      <c r="C86" s="44">
        <v>1563512</v>
      </c>
      <c r="D86" s="44">
        <v>1941938</v>
      </c>
      <c r="E86" s="44">
        <f t="shared" si="6"/>
        <v>378426</v>
      </c>
      <c r="F86" s="45">
        <f t="shared" si="7"/>
        <v>0.24203587820240585</v>
      </c>
      <c r="G86" s="103"/>
      <c r="H86" s="103"/>
      <c r="I86" s="103"/>
    </row>
    <row r="87" spans="1:6" s="100" customFormat="1" ht="26.25">
      <c r="A87" s="39" t="s">
        <v>82</v>
      </c>
      <c r="B87" s="38">
        <v>20854</v>
      </c>
      <c r="C87" s="38">
        <v>64064</v>
      </c>
      <c r="D87" s="38">
        <v>25000</v>
      </c>
      <c r="E87" s="38">
        <f t="shared" si="6"/>
        <v>-39064</v>
      </c>
      <c r="F87" s="34">
        <f t="shared" si="7"/>
        <v>-0.6097652347652348</v>
      </c>
    </row>
    <row r="88" spans="1:6" s="100" customFormat="1" ht="26.25">
      <c r="A88" s="39" t="s">
        <v>83</v>
      </c>
      <c r="B88" s="38">
        <v>74720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421419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9" s="102" customFormat="1" ht="26.25">
      <c r="A90" s="62" t="s">
        <v>85</v>
      </c>
      <c r="B90" s="61">
        <v>516993</v>
      </c>
      <c r="C90" s="61">
        <v>64064</v>
      </c>
      <c r="D90" s="61">
        <v>25000</v>
      </c>
      <c r="E90" s="61">
        <f t="shared" si="6"/>
        <v>-39064</v>
      </c>
      <c r="F90" s="45">
        <f t="shared" si="7"/>
        <v>-0.6097652347652348</v>
      </c>
      <c r="G90" s="103"/>
      <c r="H90" s="103"/>
      <c r="I90" s="103"/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8761601</v>
      </c>
      <c r="C92" s="64">
        <v>9020336</v>
      </c>
      <c r="D92" s="64">
        <v>8909434</v>
      </c>
      <c r="E92" s="64">
        <f t="shared" si="6"/>
        <v>-110902</v>
      </c>
      <c r="F92" s="65">
        <f t="shared" si="7"/>
        <v>-0.012294663968171474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91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LCTCBoard!B8+Online!B8+BRCC!B8+BPCC!B8+Delgado!B8+CentLATCC!B8+Fletcher!B8+LDCC!B8+Northshore!B8+Nunez!B8+RPCC!B8+SLCC!B8+Sowela!B8+LTC!B8</f>
        <v>113868249</v>
      </c>
      <c r="C8" s="33">
        <f>LCTCBoard!C8+Online!C8+BRCC!C8+BPCC!C8+Delgado!C8+CentLATCC!C8+Fletcher!C8+LDCC!C8+Northshore!C8+Nunez!C8+RPCC!C8+SLCC!C8+Sowela!C8+LTC!C8</f>
        <v>113868249</v>
      </c>
      <c r="D8" s="33">
        <f>LCTCBoard!D8+Online!D8+BRCC!D8+BPCC!D8+Delgado!D8+CentLATCC!D8+Fletcher!D8+LDCC!D8+Northshore!D8+Nunez!D8+RPCC!D8+SLCC!D8+Sowela!D8+LTC!D8</f>
        <v>116754509</v>
      </c>
      <c r="E8" s="33">
        <f>D8-C8</f>
        <v>2886260</v>
      </c>
      <c r="F8" s="34">
        <f>IF(ISBLANK(E8),"  ",IF(C8&gt;0,E8/C8,IF(E8&gt;0,1,0)))</f>
        <v>0.02534736439127996</v>
      </c>
    </row>
    <row r="9" spans="1:6" s="24" customFormat="1" ht="26.25">
      <c r="A9" s="32" t="s">
        <v>96</v>
      </c>
      <c r="B9" s="33">
        <f>LCTCBoard!B9+Online!B9+BRCC!B9+BPCC!B9+Delgado!B9+CentLATCC!B9+Fletcher!B9+LDCC!B9+Northshore!B9+Nunez!B9+RPCC!B9+SLCC!B9+Sowela!B9+LTC!B9</f>
        <v>0</v>
      </c>
      <c r="C9" s="33">
        <f>LCTCBoard!C9+Online!C9+BRCC!C9+BPCC!C9+Delgado!C9+CentLATCC!C9+Fletcher!C9+LDCC!C9+Northshore!C9+Nunez!C9+RPCC!C9+SLCC!C9+Sowela!C9+LTC!C9</f>
        <v>0</v>
      </c>
      <c r="D9" s="33">
        <f>LCTCBoard!D9+Online!D9+BRCC!D9+BPCC!D9+Delgado!D9+CentLATCC!D9+Fletcher!D9+LDCC!D9+Northshore!D9+Nunez!D9+RPCC!D9+SLCC!D9+Sowela!D9+LTC!D9</f>
        <v>0</v>
      </c>
      <c r="E9" s="33">
        <f aca="true" t="shared" si="0" ref="E9:E29">D9-C9</f>
        <v>0</v>
      </c>
      <c r="F9" s="34">
        <f aca="true" t="shared" si="1" ref="F9:F29">IF(ISBLANK(E9),"  ",IF(C9&gt;0,E9/C9,IF(E9&gt;0,1,0)))</f>
        <v>0</v>
      </c>
    </row>
    <row r="10" spans="1:6" s="24" customFormat="1" ht="26.25">
      <c r="A10" s="35" t="s">
        <v>14</v>
      </c>
      <c r="B10" s="33">
        <f>LCTCBoard!B10+Online!B10+BRCC!B10+BPCC!B10+Delgado!B10+CentLATCC!B10+Fletcher!B10+LDCC!B10+Northshore!B10+Nunez!B10+RPCC!B10+SLCC!B10+Sowela!B10+LTC!B10</f>
        <v>15607624.25</v>
      </c>
      <c r="C10" s="33">
        <f>LCTCBoard!C10+Online!C10+BRCC!C10+BPCC!C10+Delgado!C10+CentLATCC!C10+Fletcher!C10+LDCC!C10+Northshore!C10+Nunez!C10+RPCC!C10+SLCC!C10+Sowela!C10+LTC!C10</f>
        <v>16333426.18</v>
      </c>
      <c r="D10" s="33">
        <f>LCTCBoard!D10+Online!D10+BRCC!D10+BPCC!D10+Delgado!D10+CentLATCC!D10+Fletcher!D10+LDCC!D10+Northshore!D10+Nunez!D10+RPCC!D10+SLCC!D10+Sowela!D10+LTC!D10</f>
        <v>16068531</v>
      </c>
      <c r="E10" s="33">
        <f t="shared" si="0"/>
        <v>-264895.1799999997</v>
      </c>
      <c r="F10" s="34">
        <f t="shared" si="1"/>
        <v>-0.016217980053955815</v>
      </c>
    </row>
    <row r="11" spans="1:6" s="24" customFormat="1" ht="26.25">
      <c r="A11" s="37" t="s">
        <v>15</v>
      </c>
      <c r="B11" s="33">
        <f>LCTCBoard!B11+Online!B11+BRCC!B11+BPCC!B11+Delgado!B11+CentLATCC!B11+Fletcher!B11+LDCC!B11+Northshore!B11+Nunez!B11+RPCC!B11+SLCC!B11+Sowela!B11+LTC!B11</f>
        <v>0</v>
      </c>
      <c r="C11" s="33">
        <f>LCTCBoard!C11+Online!C11+BRCC!C11+BPCC!C11+Delgado!C11+CentLATCC!C11+Fletcher!C11+LDCC!C11+Northshore!C11+Nunez!C11+RPCC!C11+SLCC!C11+Sowela!C11+LTC!C11</f>
        <v>0</v>
      </c>
      <c r="D11" s="33">
        <f>LCTCBoard!D11+Online!D11+BRCC!D11+BPCC!D11+Delgado!D11+CentLATCC!D11+Fletcher!D11+LDCC!D11+Northshore!D11+Nunez!D11+RPCC!D11+SLCC!D11+Sowela!D11+LTC!D11</f>
        <v>0</v>
      </c>
      <c r="E11" s="33">
        <f t="shared" si="0"/>
        <v>0</v>
      </c>
      <c r="F11" s="34">
        <f t="shared" si="1"/>
        <v>0</v>
      </c>
    </row>
    <row r="12" spans="1:7" s="24" customFormat="1" ht="26.25">
      <c r="A12" s="39" t="s">
        <v>16</v>
      </c>
      <c r="B12" s="33">
        <f>LCTCBoard!B12+Online!B12+BRCC!B12+BPCC!B12+Delgado!B12+CentLATCC!B12+Fletcher!B12+LDCC!B12+Northshore!B12+Nunez!B12+RPCC!B12+SLCC!B12+Sowela!B12+LTC!B12</f>
        <v>4720088.25</v>
      </c>
      <c r="C12" s="33">
        <f>LCTCBoard!C12+Online!C12+BRCC!C12+BPCC!C12+Delgado!C12+CentLATCC!C12+Fletcher!C12+LDCC!C12+Northshore!C12+Nunez!C12+RPCC!C12+SLCC!C12+Sowela!C12+LTC!C12</f>
        <v>5445890.18</v>
      </c>
      <c r="D12" s="33">
        <f>LCTCBoard!D12+Online!D12+BRCC!D12+BPCC!D12+Delgado!D12+CentLATCC!D12+Fletcher!D12+LDCC!D12+Northshore!D12+Nunez!D12+RPCC!D12+SLCC!D12+Sowela!D12+LTC!D12</f>
        <v>5281667</v>
      </c>
      <c r="E12" s="33">
        <f t="shared" si="0"/>
        <v>-164223.1799999997</v>
      </c>
      <c r="F12" s="34">
        <f t="shared" si="1"/>
        <v>-0.030155433652171024</v>
      </c>
      <c r="G12" s="86"/>
    </row>
    <row r="13" spans="1:6" s="24" customFormat="1" ht="26.25">
      <c r="A13" s="39" t="s">
        <v>17</v>
      </c>
      <c r="B13" s="33">
        <f>LCTCBoard!B13+Online!B13+BRCC!B13+BPCC!B13+Delgado!B13+CentLATCC!B13+Fletcher!B13+LDCC!B13+Northshore!B13+Nunez!B13+RPCC!B13+SLCC!B13+Sowela!B13+LTC!B13</f>
        <v>0</v>
      </c>
      <c r="C13" s="33">
        <f>LCTCBoard!C13+Online!C13+BRCC!C13+BPCC!C13+Delgado!C13+CentLATCC!C13+Fletcher!C13+LDCC!C13+Northshore!C13+Nunez!C13+RPCC!C13+SLCC!C13+Sowela!C13+LTC!C13</f>
        <v>0</v>
      </c>
      <c r="D13" s="33">
        <f>LCTCBoard!D13+Online!D13+BRCC!D13+BPCC!D13+Delgado!D13+CentLATCC!D13+Fletcher!D13+LDCC!D13+Northshore!D13+Nunez!D13+RPCC!D13+SLCC!D13+Sowela!D13+LTC!D13</f>
        <v>0</v>
      </c>
      <c r="E13" s="33">
        <f t="shared" si="0"/>
        <v>0</v>
      </c>
      <c r="F13" s="34">
        <f t="shared" si="1"/>
        <v>0</v>
      </c>
    </row>
    <row r="14" spans="1:6" s="24" customFormat="1" ht="26.25">
      <c r="A14" s="39" t="s">
        <v>18</v>
      </c>
      <c r="B14" s="33">
        <f>LCTCBoard!B14+Online!B14+BRCC!B14+BPCC!B14+Delgado!B14+CentLATCC!B14+Fletcher!B14+LDCC!B14+Northshore!B14+Nunez!B14+RPCC!B14+SLCC!B14+Sowela!B14+LTC!B14</f>
        <v>132411</v>
      </c>
      <c r="C14" s="33">
        <f>LCTCBoard!C14+Online!C14+BRCC!C14+BPCC!C14+Delgado!C14+CentLATCC!C14+Fletcher!C14+LDCC!C14+Northshore!C14+Nunez!C14+RPCC!C14+SLCC!C14+Sowela!C14+LTC!C14</f>
        <v>132411</v>
      </c>
      <c r="D14" s="33">
        <f>LCTCBoard!D14+Online!D14+BRCC!D14+BPCC!D14+Delgado!D14+CentLATCC!D14+Fletcher!D14+LDCC!D14+Northshore!D14+Nunez!D14+RPCC!D14+SLCC!D14+Sowela!D14+LTC!D14</f>
        <v>130811</v>
      </c>
      <c r="E14" s="33">
        <f t="shared" si="0"/>
        <v>-1600</v>
      </c>
      <c r="F14" s="34">
        <f t="shared" si="1"/>
        <v>-0.012083588221522381</v>
      </c>
    </row>
    <row r="15" spans="1:6" s="24" customFormat="1" ht="26.25">
      <c r="A15" s="39" t="s">
        <v>19</v>
      </c>
      <c r="B15" s="33">
        <f>LCTCBoard!B15+Online!B15+BRCC!B15+BPCC!B15+Delgado!B15+CentLATCC!B15+Fletcher!B15+LDCC!B15+Northshore!B15+Nunez!B15+RPCC!B15+SLCC!B15+Sowela!B15+LTC!B15</f>
        <v>435225</v>
      </c>
      <c r="C15" s="33">
        <f>LCTCBoard!C15+Online!C15+BRCC!C15+BPCC!C15+Delgado!C15+CentLATCC!C15+Fletcher!C15+LDCC!C15+Northshore!C15+Nunez!C15+RPCC!C15+SLCC!C15+Sowela!C15+LTC!C15</f>
        <v>435225</v>
      </c>
      <c r="D15" s="33">
        <f>LCTCBoard!D15+Online!D15+BRCC!D15+BPCC!D15+Delgado!D15+CentLATCC!D15+Fletcher!D15+LDCC!D15+Northshore!D15+Nunez!D15+RPCC!D15+SLCC!D15+Sowela!D15+LTC!D15</f>
        <v>357773</v>
      </c>
      <c r="E15" s="33">
        <f t="shared" si="0"/>
        <v>-77452</v>
      </c>
      <c r="F15" s="34">
        <f t="shared" si="1"/>
        <v>-0.17795852719857544</v>
      </c>
    </row>
    <row r="16" spans="1:6" s="24" customFormat="1" ht="26.25">
      <c r="A16" s="39" t="s">
        <v>20</v>
      </c>
      <c r="B16" s="33">
        <f>LCTCBoard!B16+Online!B16+BRCC!B16+BPCC!B16+Delgado!B16+CentLATCC!B16+Fletcher!B16+LDCC!B16+Northshore!B16+Nunez!B16+RPCC!B16+SLCC!B16+Sowela!B16+LTC!B16</f>
        <v>0</v>
      </c>
      <c r="C16" s="33">
        <f>LCTCBoard!C16+Online!C16+BRCC!C16+BPCC!C16+Delgado!C16+CentLATCC!C16+Fletcher!C16+LDCC!C16+Northshore!C16+Nunez!C16+RPCC!C16+SLCC!C16+Sowela!C16+LTC!C16</f>
        <v>0</v>
      </c>
      <c r="D16" s="33">
        <f>LCTCBoard!D16+Online!D16+BRCC!D16+BPCC!D16+Delgado!D16+CentLATCC!D16+Fletcher!D16+LDCC!D16+Northshore!D16+Nunez!D16+RPCC!D16+SLCC!D16+Sowela!D16+LTC!D16</f>
        <v>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LCTCBoard!B17+Online!B17+BRCC!B17+BPCC!B17+Delgado!B17+CentLATCC!B17+Fletcher!B17+LDCC!B17+Northshore!B17+Nunez!B17+RPCC!B17+SLCC!B17+Sowela!B17+LTC!B17</f>
        <v>0</v>
      </c>
      <c r="C17" s="33">
        <f>LCTCBoard!C17+Online!C17+BRCC!C17+BPCC!C17+Delgado!C17+CentLATCC!C17+Fletcher!C17+LDCC!C17+Northshore!C17+Nunez!C17+RPCC!C17+SLCC!C17+Sowela!C17+LTC!C17</f>
        <v>0</v>
      </c>
      <c r="D17" s="33">
        <f>LCTCBoard!D17+Online!D17+BRCC!D17+BPCC!D17+Delgado!D17+CentLATCC!D17+Fletcher!D17+LDCC!D17+Northshore!D17+Nunez!D17+RPCC!D17+SLCC!D17+Sowela!D17+LTC!D17</f>
        <v>0</v>
      </c>
      <c r="E17" s="33">
        <f t="shared" si="0"/>
        <v>0</v>
      </c>
      <c r="F17" s="34">
        <f t="shared" si="1"/>
        <v>0</v>
      </c>
    </row>
    <row r="18" spans="1:6" s="24" customFormat="1" ht="26.25">
      <c r="A18" s="39" t="s">
        <v>22</v>
      </c>
      <c r="B18" s="33">
        <f>LCTCBoard!B18+Online!B18+BRCC!B18+BPCC!B18+Delgado!B18+CentLATCC!B18+Fletcher!B18+LDCC!B18+Northshore!B18+Nunez!B18+RPCC!B18+SLCC!B18+Sowela!B18+LTC!B18</f>
        <v>0</v>
      </c>
      <c r="C18" s="33">
        <f>LCTCBoard!C18+Online!C18+BRCC!C18+BPCC!C18+Delgado!C18+CentLATCC!C18+Fletcher!C18+LDCC!C18+Northshore!C18+Nunez!C18+RPCC!C18+SLCC!C18+Sowela!C18+LTC!C18</f>
        <v>0</v>
      </c>
      <c r="D18" s="33">
        <f>LCTCBoard!D18+Online!D18+BRCC!D18+BPCC!D18+Delgado!D18+CentLATCC!D18+Fletcher!D18+LDCC!D18+Northshore!D18+Nunez!D18+RPCC!D18+SLCC!D18+Sowela!D18+LTC!D18</f>
        <v>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LCTCBoard!B19+Online!B19+BRCC!B19+BPCC!B19+Delgado!B19+CentLATCC!B19+Fletcher!B19+LDCC!B19+Northshore!B19+Nunez!B19+RPCC!B19+SLCC!B19+Sowela!B19+LTC!B19</f>
        <v>0</v>
      </c>
      <c r="C19" s="33">
        <f>LCTCBoard!C19+Online!C19+BRCC!C19+BPCC!C19+Delgado!C19+CentLATCC!C19+Fletcher!C19+LDCC!C19+Northshore!C19+Nunez!C19+RPCC!C19+SLCC!C19+Sowela!C19+LTC!C19</f>
        <v>0</v>
      </c>
      <c r="D19" s="33">
        <f>LCTCBoard!D19+Online!D19+BRCC!D19+BPCC!D19+Delgado!D19+CentLATCC!D19+Fletcher!D19+LDCC!D19+Northshore!D19+Nunez!D19+RPCC!D19+SLCC!D19+Sowela!D19+LTC!D19</f>
        <v>0</v>
      </c>
      <c r="E19" s="33">
        <f t="shared" si="0"/>
        <v>0</v>
      </c>
      <c r="F19" s="34">
        <f t="shared" si="1"/>
        <v>0</v>
      </c>
    </row>
    <row r="20" spans="1:6" s="24" customFormat="1" ht="26.25">
      <c r="A20" s="39" t="s">
        <v>24</v>
      </c>
      <c r="B20" s="33">
        <f>LCTCBoard!B20+Online!B20+BRCC!B20+BPCC!B20+Delgado!B20+CentLATCC!B20+Fletcher!B20+LDCC!B20+Northshore!B20+Nunez!B20+RPCC!B20+SLCC!B20+Sowela!B20+LTC!B20</f>
        <v>0</v>
      </c>
      <c r="C20" s="33">
        <f>LCTCBoard!C20+Online!C20+BRCC!C20+BPCC!C20+Delgado!C20+CentLATCC!C20+Fletcher!C20+LDCC!C20+Northshore!C20+Nunez!C20+RPCC!C20+SLCC!C20+Sowela!C20+LTC!C20</f>
        <v>0</v>
      </c>
      <c r="D20" s="33">
        <f>LCTCBoard!D20+Online!D20+BRCC!D20+BPCC!D20+Delgado!D20+CentLATCC!D20+Fletcher!D20+LDCC!D20+Northshore!D20+Nunez!D20+RPCC!D20+SLCC!D20+Sowela!D20+LTC!D20</f>
        <v>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LCTCBoard!B21+Online!B21+BRCC!B21+BPCC!B21+Delgado!B21+CentLATCC!B21+Fletcher!B21+LDCC!B21+Northshore!B21+Nunez!B21+RPCC!B21+SLCC!B21+Sowela!B21+LTC!B21</f>
        <v>0</v>
      </c>
      <c r="C21" s="33">
        <f>LCTCBoard!C21+Online!C21+BRCC!C21+BPCC!C21+Delgado!C21+CentLATCC!C21+Fletcher!C21+LDCC!C21+Northshore!C21+Nunez!C21+RPCC!C21+SLCC!C21+Sowela!C21+LTC!C21</f>
        <v>0</v>
      </c>
      <c r="D21" s="33">
        <f>LCTCBoard!D21+Online!D21+BRCC!D21+BPCC!D21+Delgado!D21+CentLATCC!D21+Fletcher!D21+LDCC!D21+Northshore!D21+Nunez!D21+RPCC!D21+SLCC!D21+Sowela!D21+LTC!D21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LCTCBoard!B22+Online!B22+BRCC!B22+BPCC!B22+Delgado!B22+CentLATCC!B22+Fletcher!B22+LDCC!B22+Northshore!B22+Nunez!B22+RPCC!B22+SLCC!B22+Sowela!B22+LTC!B22</f>
        <v>0</v>
      </c>
      <c r="C22" s="33">
        <f>LCTCBoard!C22+Online!C22+BRCC!C22+BPCC!C22+Delgado!C22+CentLATCC!C22+Fletcher!C22+LDCC!C22+Northshore!C22+Nunez!C22+RPCC!C22+SLCC!C22+Sowela!C22+LTC!C22</f>
        <v>0</v>
      </c>
      <c r="D22" s="33">
        <f>LCTCBoard!D22+Online!D22+BRCC!D22+BPCC!D22+Delgado!D22+CentLATCC!D22+Fletcher!D22+LDCC!D22+Northshore!D22+Nunez!D22+RPCC!D22+SLCC!D22+Sowela!D22+LTC!D22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LCTCBoard!B23+Online!B23+BRCC!B23+BPCC!B23+Delgado!B23+CentLATCC!B23+Fletcher!B23+LDCC!B23+Northshore!B23+Nunez!B23+RPCC!B23+SLCC!B23+Sowela!B23+LTC!B23</f>
        <v>0</v>
      </c>
      <c r="C23" s="33">
        <f>LCTCBoard!C23+Online!C23+BRCC!C23+BPCC!C23+Delgado!C23+CentLATCC!C23+Fletcher!C23+LDCC!C23+Northshore!C23+Nunez!C23+RPCC!C23+SLCC!C23+Sowela!C23+LTC!C23</f>
        <v>0</v>
      </c>
      <c r="D23" s="33">
        <f>LCTCBoard!D23+Online!D23+BRCC!D23+BPCC!D23+Delgado!D23+CentLATCC!D23+Fletcher!D23+LDCC!D23+Northshore!D23+Nunez!D23+RPCC!D23+SLCC!D23+Sowela!D23+LTC!D23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LCTCBoard!B24+Online!B24+BRCC!B24+BPCC!B24+Delgado!B24+CentLATCC!B24+Fletcher!B24+LDCC!B24+Northshore!B24+Nunez!B24+RPCC!B24+SLCC!B24+Sowela!B24+LTC!B24</f>
        <v>10000000</v>
      </c>
      <c r="C24" s="33">
        <f>LCTCBoard!C24+Online!C24+BRCC!C24+BPCC!C24+Delgado!C24+CentLATCC!C24+Fletcher!C24+LDCC!C24+Northshore!C24+Nunez!C24+RPCC!C24+SLCC!C24+Sowela!C24+LTC!C24</f>
        <v>10000000</v>
      </c>
      <c r="D24" s="33">
        <f>LCTCBoard!D24+Online!D24+BRCC!D24+BPCC!D24+Delgado!D24+CentLATCC!D24+Fletcher!D24+LDCC!D24+Northshore!D24+Nunez!D24+RPCC!D24+SLCC!D24+Sowela!D24+LTC!D24</f>
        <v>10000000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LCTCBoard!B25+Online!B25+BRCC!B25+BPCC!B25+Delgado!B25+CentLATCC!B25+Fletcher!B25+LDCC!B25+Northshore!B25+Nunez!B25+RPCC!B25+SLCC!B25+Sowela!B25+LTC!B25</f>
        <v>0</v>
      </c>
      <c r="C25" s="33">
        <f>LCTCBoard!C25+Online!C25+BRCC!C25+BPCC!C25+Delgado!C25+CentLATCC!C25+Fletcher!C25+LDCC!C25+Northshore!C25+Nunez!C25+RPCC!C25+SLCC!C25+Sowela!C25+LTC!C25</f>
        <v>0</v>
      </c>
      <c r="D25" s="33">
        <f>LCTCBoard!D25+Online!D25+BRCC!D25+BPCC!D25+Delgado!D25+CentLATCC!D25+Fletcher!D25+LDCC!D25+Northshore!D25+Nunez!D25+RPCC!D25+SLCC!D25+Sowela!D25+LTC!D25</f>
        <v>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LCTCBoard!B26+Online!B26+BRCC!B26+BPCC!B26+Delgado!B26+CentLATCC!B26+Fletcher!B26+LDCC!B26+Northshore!B26+Nunez!B26+RPCC!B26+SLCC!B26+Sowela!B26+LTC!B26</f>
        <v>319900</v>
      </c>
      <c r="C26" s="33">
        <f>LCTCBoard!C26+Online!C26+BRCC!C26+BPCC!C26+Delgado!C26+CentLATCC!C26+Fletcher!C26+LDCC!C26+Northshore!C26+Nunez!C26+RPCC!C26+SLCC!C26+Sowela!C26+LTC!C26</f>
        <v>319900</v>
      </c>
      <c r="D26" s="33">
        <f>LCTCBoard!D26+Online!D26+BRCC!D26+BPCC!D26+Delgado!D26+CentLATCC!D26+Fletcher!D26+LDCC!D26+Northshore!D26+Nunez!D26+RPCC!D26+SLCC!D26+Sowela!D26+LTC!D26</f>
        <v>298280</v>
      </c>
      <c r="E26" s="33">
        <f t="shared" si="0"/>
        <v>-21620</v>
      </c>
      <c r="F26" s="34">
        <f t="shared" si="1"/>
        <v>-0.06758361988121288</v>
      </c>
    </row>
    <row r="27" spans="1:6" s="24" customFormat="1" ht="26.25">
      <c r="A27" s="40" t="s">
        <v>31</v>
      </c>
      <c r="B27" s="33">
        <f>LCTCBoard!B27+Online!B27+BRCC!B27+BPCC!B27+Delgado!B27+CentLATCC!B27+Fletcher!B27+LDCC!B27+Northshore!B27+Nunez!B27+RPCC!B27+SLCC!B27+Sowela!B27+LTC!B27</f>
        <v>0</v>
      </c>
      <c r="C27" s="33">
        <f>LCTCBoard!C27+Online!C27+BRCC!C27+BPCC!C27+Delgado!C27+CentLATCC!C27+Fletcher!C27+LDCC!C27+Northshore!C27+Nunez!C27+RPCC!C27+SLCC!C27+Sowela!C27+LTC!C27</f>
        <v>0</v>
      </c>
      <c r="D27" s="33">
        <f>LCTCBoard!D27+Online!D27+BRCC!D27+BPCC!D27+Delgado!D27+CentLATCC!D27+Fletcher!D27+LDCC!D27+Northshore!D27+Nunez!D27+RPCC!D27+SLCC!D27+Sowela!D27+LTC!D27</f>
        <v>0</v>
      </c>
      <c r="E27" s="33">
        <f t="shared" si="0"/>
        <v>0</v>
      </c>
      <c r="F27" s="34">
        <f t="shared" si="1"/>
        <v>0</v>
      </c>
    </row>
    <row r="28" spans="1:6" s="24" customFormat="1" ht="26.25">
      <c r="A28" s="40" t="s">
        <v>87</v>
      </c>
      <c r="B28" s="33">
        <f>LCTCBoard!B28+Online!B28+BRCC!B28+BPCC!B28+Delgado!B28+CentLATCC!B28+Fletcher!B28+LDCC!B28+Northshore!B28+Nunez!B28+RPCC!B28+SLCC!B28+Sowela!B28+LTC!B28</f>
        <v>0</v>
      </c>
      <c r="C28" s="33">
        <f>LCTCBoard!C28+Online!C28+BRCC!C28+BPCC!C28+Delgado!C28+CentLATCC!C28+Fletcher!C28+LDCC!C28+Northshore!C28+Nunez!C28+RPCC!C28+SLCC!C28+Sowela!C28+LTC!C28</f>
        <v>0</v>
      </c>
      <c r="D28" s="33">
        <f>LCTCBoard!D28+Online!D28+BRCC!D28+BPCC!D28+Delgado!D28+CentLATCC!D28+Fletcher!D28+LDCC!D28+Northshore!D28+Nunez!D28+RPCC!D28+SLCC!D28+Sowela!D28+LTC!D28</f>
        <v>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LCTCBoard!B29+Online!B29+BRCC!B29+BPCC!B29+Delgado!B29+CentLATCC!B29+Fletcher!B29+LDCC!B29+Northshore!B29+Nunez!B29+RPCC!B29+SLCC!B29+Sowela!B29+LTC!B29</f>
        <v>0</v>
      </c>
      <c r="C29" s="33">
        <f>LCTCBoard!C29+Online!C29+BRCC!C29+BPCC!C29+Delgado!C29+CentLATCC!C29+Fletcher!C29+LDCC!C29+Northshore!C29+Nunez!C29+RPCC!C29+SLCC!C29+Sowela!C29+LTC!C29</f>
        <v>0</v>
      </c>
      <c r="D29" s="33">
        <f>LCTCBoard!D29+Online!D29+BRCC!D29+BPCC!D29+Delgado!D29+CentLATCC!D29+Fletcher!D29+LDCC!D29+Northshore!D29+Nunez!D29+RPCC!D29+SLCC!D29+Sowela!D29+LTC!D29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LCTCBoard!B31+Online!B31+BRCC!B31+BPCC!B31+Delgado!B31+CentLATCC!B31+Fletcher!B31+LDCC!B31+Northshore!B31+Nunez!B31+RPCC!B31+SLCC!B31+Sowela!B31+LTC!B31</f>
        <v>0</v>
      </c>
      <c r="C31" s="33">
        <f>LCTCBoard!C31+Online!C31+BRCC!C31+BPCC!C31+Delgado!C31+CentLATCC!C31+Fletcher!C31+LDCC!C31+Northshore!C31+Nunez!C31+RPCC!C31+SLCC!C31+Sowela!C31+LTC!C31</f>
        <v>0</v>
      </c>
      <c r="D31" s="33">
        <f>LCTCBoard!D31+Online!D31+BRCC!D31+BPCC!D31+Delgado!D31+CentLATCC!D31+Fletcher!D31+LDCC!D31+Northshore!D31+Nunez!D31+RPCC!D31+SLCC!D31+Sowela!D31+LTC!D31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LCTCBoard!B33+Online!B33+BRCC!B33+BPCC!B33+Delgado!B33+CentLATCC!B33+Fletcher!B33+LDCC!B33+Northshore!B33+Nunez!B33+RPCC!B33+SLCC!B33+Sowela!B33+LTC!B33</f>
        <v>0</v>
      </c>
      <c r="C33" s="33">
        <f>LCTCBoard!C33+Online!C33+BRCC!C33+BPCC!C33+Delgado!C33+CentLATCC!C33+Fletcher!C33+LDCC!C33+Northshore!C33+Nunez!C33+RPCC!C33+SLCC!C33+Sowela!C33+LTC!C33</f>
        <v>0</v>
      </c>
      <c r="D33" s="33">
        <f>LCTCBoard!D33+Online!D33+BRCC!D33+BPCC!D33+Delgado!D33+CentLATCC!D33+Fletcher!D33+LDCC!D33+Northshore!D33+Nunez!D33+RPCC!D33+SLCC!D33+Sowela!D33+LTC!D33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24" customFormat="1" ht="26.25">
      <c r="A34" s="39" t="s">
        <v>36</v>
      </c>
      <c r="B34" s="90"/>
      <c r="C34" s="90"/>
      <c r="D34" s="90"/>
      <c r="E34" s="36"/>
      <c r="F34" s="34" t="s">
        <v>37</v>
      </c>
    </row>
    <row r="35" spans="1:6" s="46" customFormat="1" ht="26.25">
      <c r="A35" s="43" t="s">
        <v>38</v>
      </c>
      <c r="B35" s="52">
        <f>LCTCBoard!B35+Online!B35+BRCC!B35+BPCC!B35+Delgado!B35+CentLATCC!B35+Fletcher!B35+LDCC!B35+Northshore!B35+Nunez!B35+RPCC!B35+SLCC!B35+Sowela!B35+LTC!B35</f>
        <v>129475873.25</v>
      </c>
      <c r="C35" s="52">
        <f>LCTCBoard!C35+Online!C35+BRCC!C35+BPCC!C35+Delgado!C35+CentLATCC!C35+Fletcher!C35+LDCC!C35+Northshore!C35+Nunez!C35+RPCC!C35+SLCC!C35+Sowela!C35+LTC!C35</f>
        <v>130201675.18</v>
      </c>
      <c r="D35" s="52">
        <f>LCTCBoard!D35+Online!D35+BRCC!D35+BPCC!D35+Delgado!D35+CentLATCC!D35+Fletcher!D35+LDCC!D35+Northshore!D35+Nunez!D35+RPCC!D35+SLCC!D35+Sowela!D35+LTC!D35</f>
        <v>132823040</v>
      </c>
      <c r="E35" s="52">
        <f>D35-C35</f>
        <v>2621364.819999993</v>
      </c>
      <c r="F35" s="45">
        <f>IF(ISBLANK(E35),"  ",IF(C35&gt;0,E35/C35,IF(E35&gt;0,1,0)))</f>
        <v>0.020133111316548213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LCTCBoard!B37+Online!B37+BRCC!B37+BPCC!B37+Delgado!B37+CentLATCC!B37+Fletcher!B37+LDCC!B37+Northshore!B37+Nunez!B37+RPCC!B37+SLCC!B37+Sowela!B37+LTC!B37</f>
        <v>0</v>
      </c>
      <c r="C37" s="33">
        <f>LCTCBoard!C37+Online!C37+BRCC!C37+BPCC!C37+Delgado!C37+CentLATCC!C37+Fletcher!C37+LDCC!C37+Northshore!C37+Nunez!C37+RPCC!C37+SLCC!C37+Sowela!C37+LTC!C37</f>
        <v>0</v>
      </c>
      <c r="D37" s="33">
        <f>LCTCBoard!D37+Online!D37+BRCC!D37+BPCC!D37+Delgado!D37+CentLATCC!D37+Fletcher!D37+LDCC!D37+Northshore!D37+Nunez!D37+RPCC!D37+SLCC!D37+Sowela!D37+LTC!D37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LCTCBoard!B38+Online!B38+BRCC!B38+BPCC!B38+Delgado!B38+CentLATCC!B38+Fletcher!B38+LDCC!B38+Northshore!B38+Nunez!B38+RPCC!B38+SLCC!B38+Sowela!B38+LTC!B38</f>
        <v>0</v>
      </c>
      <c r="C38" s="33">
        <f>LCTCBoard!C38+Online!C38+BRCC!C38+BPCC!C38+Delgado!C38+CentLATCC!C38+Fletcher!C38+LDCC!C38+Northshore!C38+Nunez!C38+RPCC!C38+SLCC!C38+Sowela!C38+LTC!C38</f>
        <v>0</v>
      </c>
      <c r="D38" s="33">
        <f>LCTCBoard!D38+Online!D38+BRCC!D38+BPCC!D38+Delgado!D38+CentLATCC!D38+Fletcher!D38+LDCC!D38+Northshore!D38+Nunez!D38+RPCC!D38+SLCC!D38+Sowela!D38+LTC!D38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LCTCBoard!B39+Online!B39+BRCC!B39+BPCC!B39+Delgado!B39+CentLATCC!B39+Fletcher!B39+LDCC!B39+Northshore!B39+Nunez!B39+RPCC!B39+SLCC!B39+Sowela!B39+LTC!B39</f>
        <v>5157072.5600000005</v>
      </c>
      <c r="C39" s="33">
        <f>LCTCBoard!C39+Online!C39+BRCC!C39+BPCC!C39+Delgado!C39+CentLATCC!C39+Fletcher!C39+LDCC!C39+Northshore!C39+Nunez!C39+RPCC!C39+SLCC!C39+Sowela!C39+LTC!C39</f>
        <v>0</v>
      </c>
      <c r="D39" s="33">
        <f>LCTCBoard!D39+Online!D39+BRCC!D39+BPCC!D39+Delgado!D39+CentLATCC!D39+Fletcher!D39+LDCC!D39+Northshore!D39+Nunez!D39+RPCC!D39+SLCC!D39+Sowela!D39+LTC!D39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LCTCBoard!B40+Online!B40+BRCC!B40+BPCC!B40+Delgado!B40+CentLATCC!B40+Fletcher!B40+LDCC!B40+Northshore!B40+Nunez!B40+RPCC!B40+SLCC!B40+Sowela!B40+LTC!B40</f>
        <v>0</v>
      </c>
      <c r="C40" s="33">
        <f>LCTCBoard!C40+Online!C40+BRCC!C40+BPCC!C40+Delgado!C40+CentLATCC!C40+Fletcher!C40+LDCC!C40+Northshore!C40+Nunez!C40+RPCC!C40+SLCC!C40+Sowela!C40+LTC!C40</f>
        <v>0</v>
      </c>
      <c r="D40" s="33">
        <f>LCTCBoard!D40+Online!D40+BRCC!D40+BPCC!D40+Delgado!D40+CentLATCC!D40+Fletcher!D40+LDCC!D40+Northshore!D40+Nunez!D40+RPCC!D40+SLCC!D40+Sowela!D40+LTC!D40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LCTCBoard!B41+Online!B41+BRCC!B41+BPCC!B41+Delgado!B41+CentLATCC!B41+Fletcher!B41+LDCC!B41+Northshore!B41+Nunez!B41+RPCC!B41+SLCC!B41+Sowela!B41+LTC!B41</f>
        <v>0</v>
      </c>
      <c r="C41" s="33">
        <f>LCTCBoard!C41+Online!C41+BRCC!C41+BPCC!C41+Delgado!C41+CentLATCC!C41+Fletcher!C41+LDCC!C41+Northshore!C41+Nunez!C41+RPCC!C41+SLCC!C41+Sowela!C41+LTC!C41</f>
        <v>0</v>
      </c>
      <c r="D41" s="33">
        <f>LCTCBoard!D41+Online!D41+BRCC!D41+BPCC!D41+Delgado!D41+CentLATCC!D41+Fletcher!D41+LDCC!D41+Northshore!D41+Nunez!D41+RPCC!D41+SLCC!D41+Sowela!D41+LTC!D41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LCTCBoard!B43+Online!B42+BRCC!B42+BPCC!B42+Delgado!B42+CentLATCC!B42+Fletcher!B42+LDCC!B42+Northshore!B42+Nunez!B42+RPCC!B42+SLCC!B42+Sowela!B42+LTC!B42</f>
        <v>5157072.5600000005</v>
      </c>
      <c r="C42" s="52">
        <f>LCTCBoard!C43+Online!C42+BRCC!C42+BPCC!C42+Delgado!C42+CentLATCC!C42+Fletcher!C42+LDCC!C42+Northshore!C42+Nunez!C42+RPCC!C42+SLCC!C42+Sowela!C42+LTC!C42</f>
        <v>0</v>
      </c>
      <c r="D42" s="52">
        <f>LCTCBoard!D43+Online!D42+BRCC!D42+BPCC!D42+Delgado!D42+CentLATCC!D42+Fletcher!D42+LDCC!D42+Northshore!D42+Nunez!D42+RPCC!D42+SLCC!D42+Sowela!D42+LTC!D42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LCTCBoard!B44+Online!B44+BRCC!B44+BPCC!B44+Delgado!B44+CentLATCC!B44+Fletcher!B44+LDCC!B44+Northshore!B44+Nunez!B44+RPCC!B44+SLCC!B44+Sowela!B44+LTC!B44</f>
        <v>0</v>
      </c>
      <c r="C44" s="52">
        <f>LCTCBoard!C44+Online!C44+BRCC!C44+BPCC!C44+Delgado!C44+CentLATCC!C44+Fletcher!C44+LDCC!C44+Northshore!C44+Nunez!C44+RPCC!C44+SLCC!C44+Sowela!C44+LTC!C44</f>
        <v>0</v>
      </c>
      <c r="D44" s="52">
        <f>LCTCBoard!D44+Online!D44+BRCC!D44+BPCC!D44+Delgado!D44+CentLATCC!D44+Fletcher!D44+LDCC!D44+Northshore!D44+Nunez!D44+RPCC!D44+SLCC!D44+Sowela!D44+LTC!D44</f>
        <v>0</v>
      </c>
      <c r="E44" s="52">
        <f>D44-C44</f>
        <v>0</v>
      </c>
      <c r="F44" s="45">
        <f>IF(ISBLANK(E44),"  ",IF(C44&gt;0,E44/C44,IF(E44&gt;0,1,0)))</f>
        <v>0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LCTCBoard!B46+Online!B46+BRCC!B46+BPCC!B46+Delgado!B46+CentLATCC!B46+Fletcher!B46+LDCC!B46+Northshore!B46+Nunez!B46+RPCC!B46+SLCC!B46+Sowela!B46+LTC!B46</f>
        <v>0</v>
      </c>
      <c r="C46" s="52">
        <f>LCTCBoard!C46+Online!C46+BRCC!C46+BPCC!C46+Delgado!C46+CentLATCC!C46+Fletcher!C46+LDCC!C46+Northshore!C46+Nunez!C46+RPCC!C46+SLCC!C46+Sowela!C46+LTC!C46</f>
        <v>0</v>
      </c>
      <c r="D46" s="52">
        <f>LCTCBoard!D46+Online!D46+BRCC!D46+BPCC!D46+Delgado!D46+CentLATCC!D46+Fletcher!D46+LDCC!D46+Northshore!D46+Nunez!D46+RPCC!D46+SLCC!D46+Sowela!D46+LTC!D46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LCTCBoard!B48+Online!B48+BRCC!B48+BPCC!B48+Delgado!B48+CentLATCC!B48+Fletcher!B48+LDCC!B48+Northshore!B48+Nunez!B48+RPCC!B48+SLCC!B48+Sowela!B48+LTC!B48</f>
        <v>161091928.17000002</v>
      </c>
      <c r="C48" s="52">
        <f>LCTCBoard!C48+Online!C48+BRCC!C48+BPCC!C48+Delgado!C48+CentLATCC!C48+Fletcher!C48+LDCC!C48+Northshore!C48+Nunez!C48+RPCC!C48+SLCC!C48+Sowela!C48+LTC!C48</f>
        <v>179089630.59000003</v>
      </c>
      <c r="D48" s="52">
        <f>LCTCBoard!D48+Online!D48+BRCC!D48+BPCC!D48+Delgado!D48+CentLATCC!D48+Fletcher!D48+LDCC!D48+Northshore!D48+Nunez!D48+RPCC!D48+SLCC!D48+Sowela!D48+LTC!D48</f>
        <v>170143135.60000002</v>
      </c>
      <c r="E48" s="52">
        <f>D48-C48</f>
        <v>-8946494.99000001</v>
      </c>
      <c r="F48" s="45">
        <f>IF(ISBLANK(E48),"  ",IF(C48&gt;0,E48/C48,IF(E48&gt;0,1,0)))</f>
        <v>-0.049955404791032956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LCTCBoard!B50+Online!B50+BRCC!B50+BPCC!B50+Delgado!B50+CentLATCC!B50+Fletcher!B50+LDCC!B50+Northshore!B50+Nunez!B50+RPCC!B50+SLCC!B50+Sowela!B50+LTC!B50</f>
        <v>0</v>
      </c>
      <c r="C50" s="52">
        <f>LCTCBoard!C50+Online!C50+BRCC!C50+BPCC!C50+Delgado!C50+CentLATCC!C50+Fletcher!C50+LDCC!C50+Northshore!C50+Nunez!C50+RPCC!C50+SLCC!C50+Sowela!C50+LTC!C50</f>
        <v>0</v>
      </c>
      <c r="D50" s="52">
        <f>LCTCBoard!D50+Online!D50+BRCC!D50+BPCC!D50+Delgado!D50+CentLATCC!D50+Fletcher!D50+LDCC!D50+Northshore!D50+Nunez!D50+RPCC!D50+SLCC!D50+Sowela!D50+LTC!D50</f>
        <v>0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LCTCBoard!B52+Online!B52+BRCC!B52+BPCC!B52+Delgado!B52+CentLATCC!B52+Fletcher!B52+LDCC!B52+Northshore!B52+Nunez!B52+RPCC!B52+SLCC!B52+Sowela!B52+LTC!B52</f>
        <v>0</v>
      </c>
      <c r="C52" s="52">
        <f>LCTCBoard!C52+Online!C52+BRCC!C52+BPCC!C52+Delgado!C52+CentLATCC!C52+Fletcher!C52+LDCC!C52+Northshore!C52+Nunez!C52+RPCC!C52+SLCC!C52+Sowela!C52+LTC!C52</f>
        <v>0</v>
      </c>
      <c r="D52" s="52">
        <f>LCTCBoard!D52+Online!D52+BRCC!D52+BPCC!D52+Delgado!D52+CentLATCC!D52+Fletcher!D52+LDCC!D52+Northshore!D52+Nunez!D52+RPCC!D52+SLCC!D52+Sowela!D52+LTC!D52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LCTCBoard!B54+Online!B54+BRCC!B54+BPCC!B54+Delgado!B54+CentLATCC!B54+Fletcher!B54+LDCC!B54+Northshore!B54+Nunez!B54+RPCC!B54+SLCC!B54+Sowela!B54+LTC!B54</f>
        <v>285410728.86</v>
      </c>
      <c r="C54" s="52">
        <f>LCTCBoard!C54+Online!C54+BRCC!C54+BPCC!C54+Delgado!C54+CentLATCC!C54+Fletcher!C54+LDCC!C54+Northshore!C54+Nunez!C54+RPCC!C54+SLCC!C54+Sowela!C54+LTC!C54</f>
        <v>309291305.77000004</v>
      </c>
      <c r="D54" s="52">
        <f>LCTCBoard!D54+Online!D54+BRCC!D54+BPCC!D54+Delgado!D54+CentLATCC!D54+Fletcher!D54+LDCC!D54+Northshore!D54+Nunez!D54+RPCC!D54+SLCC!D54+Sowela!D54+LTC!D54</f>
        <v>302966175.6</v>
      </c>
      <c r="E54" s="52">
        <f>D54-C54</f>
        <v>-6325130.170000017</v>
      </c>
      <c r="F54" s="45">
        <f>IF(ISBLANK(E54),"  ",IF(C54&gt;0,E54/C54,IF(E54&gt;0,1,0)))</f>
        <v>-0.020450397576657415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LCTCBoard!B58+Online!B58+BRCC!B58+BPCC!B58+Delgado!B58+CentLATCC!B58+Fletcher!B58+LDCC!B58+Northshore!B58+Nunez!B58+RPCC!B58+SLCC!B58+Sowela!B58+LTC!B58</f>
        <v>128383041.57</v>
      </c>
      <c r="C58" s="33">
        <f>LCTCBoard!C58+Online!C58+BRCC!C58+BPCC!C58+Delgado!C58+CentLATCC!C58+Fletcher!C58+LDCC!C58+Northshore!C58+Nunez!C58+RPCC!C58+SLCC!C58+Sowela!C58+LTC!C58</f>
        <v>135009263.77989393</v>
      </c>
      <c r="D58" s="33">
        <f>LCTCBoard!D58+Online!D58+BRCC!D58+BPCC!D58+Delgado!D58+CentLATCC!D58+Fletcher!D58+LDCC!D58+Northshore!D58+Nunez!D58+RPCC!D58+SLCC!D58+Sowela!D58+LTC!D58</f>
        <v>133565581.33989395</v>
      </c>
      <c r="E58" s="33">
        <f aca="true" t="shared" si="4" ref="E58:E71">D58-C58</f>
        <v>-1443682.4399999827</v>
      </c>
      <c r="F58" s="34">
        <f aca="true" t="shared" si="5" ref="F58:F71">IF(ISBLANK(E58),"  ",IF(C58&gt;0,E58/C58,IF(E58&gt;0,1,0)))</f>
        <v>-0.010693210225585876</v>
      </c>
    </row>
    <row r="59" spans="1:6" s="24" customFormat="1" ht="26.25">
      <c r="A59" s="39" t="s">
        <v>55</v>
      </c>
      <c r="B59" s="33">
        <f>LCTCBoard!B59+Online!B59+BRCC!B59+BPCC!B59+Delgado!B59+CentLATCC!B59+Fletcher!B59+LDCC!B59+Northshore!B59+Nunez!B59+RPCC!B59+SLCC!B59+Sowela!B59+LTC!B59</f>
        <v>0</v>
      </c>
      <c r="C59" s="33">
        <f>LCTCBoard!C59+Online!C59+BRCC!C59+BPCC!C59+Delgado!C59+CentLATCC!C59+Fletcher!C59+LDCC!C59+Northshore!C59+Nunez!C59+RPCC!C59+SLCC!C59+Sowela!C59+LTC!C59</f>
        <v>0</v>
      </c>
      <c r="D59" s="33">
        <f>LCTCBoard!D59+Online!D59+BRCC!D59+BPCC!D59+Delgado!D59+CentLATCC!D59+Fletcher!D59+LDCC!D59+Northshore!D59+Nunez!D59+RPCC!D59+SLCC!D59+Sowela!D59+LTC!D59</f>
        <v>0</v>
      </c>
      <c r="E59" s="33">
        <f t="shared" si="4"/>
        <v>0</v>
      </c>
      <c r="F59" s="34">
        <f t="shared" si="5"/>
        <v>0</v>
      </c>
    </row>
    <row r="60" spans="1:6" s="24" customFormat="1" ht="26.25">
      <c r="A60" s="39" t="s">
        <v>56</v>
      </c>
      <c r="B60" s="33">
        <f>LCTCBoard!B60+Online!B60+BRCC!B60+BPCC!B60+Delgado!B60+CentLATCC!B60+Fletcher!B60+LDCC!B60+Northshore!B60+Nunez!B60+RPCC!B60+SLCC!B60+Sowela!B60+LTC!B60</f>
        <v>241473.05</v>
      </c>
      <c r="C60" s="33">
        <f>LCTCBoard!C60+Online!C60+BRCC!C60+BPCC!C60+Delgado!C60+CentLATCC!C60+Fletcher!C60+LDCC!C60+Northshore!C60+Nunez!C60+RPCC!C60+SLCC!C60+Sowela!C60+LTC!C60</f>
        <v>273131</v>
      </c>
      <c r="D60" s="33">
        <f>LCTCBoard!D60+Online!D60+BRCC!D60+BPCC!D60+Delgado!D60+CentLATCC!D60+Fletcher!D60+LDCC!D60+Northshore!D60+Nunez!D60+RPCC!D60+SLCC!D60+Sowela!D60+LTC!D60</f>
        <v>262941</v>
      </c>
      <c r="E60" s="33">
        <f t="shared" si="4"/>
        <v>-10190</v>
      </c>
      <c r="F60" s="34">
        <f t="shared" si="5"/>
        <v>-0.037308104902043344</v>
      </c>
    </row>
    <row r="61" spans="1:6" s="24" customFormat="1" ht="26.25">
      <c r="A61" s="39" t="s">
        <v>57</v>
      </c>
      <c r="B61" s="33">
        <f>LCTCBoard!B61+Online!B61+BRCC!B61+BPCC!B61+Delgado!B61+CentLATCC!B61+Fletcher!B61+LDCC!B61+Northshore!B61+Nunez!B61+RPCC!B61+SLCC!B61+Sowela!B61+LTC!B61</f>
        <v>26861162.24</v>
      </c>
      <c r="C61" s="33">
        <f>LCTCBoard!C61+Online!C61+BRCC!C61+BPCC!C61+Delgado!C61+CentLATCC!C61+Fletcher!C61+LDCC!C61+Northshore!C61+Nunez!C61+RPCC!C61+SLCC!C61+Sowela!C61+LTC!C61</f>
        <v>27788419.439999998</v>
      </c>
      <c r="D61" s="33">
        <f>LCTCBoard!D61+Online!D61+BRCC!D61+BPCC!D61+Delgado!D61+CentLATCC!D61+Fletcher!D61+LDCC!D61+Northshore!D61+Nunez!D61+RPCC!D61+SLCC!D61+Sowela!D61+LTC!D61</f>
        <v>29599144.704320833</v>
      </c>
      <c r="E61" s="33">
        <f t="shared" si="4"/>
        <v>1810725.2643208355</v>
      </c>
      <c r="F61" s="34">
        <f t="shared" si="5"/>
        <v>0.06516114629083185</v>
      </c>
    </row>
    <row r="62" spans="1:6" s="24" customFormat="1" ht="26.25">
      <c r="A62" s="39" t="s">
        <v>58</v>
      </c>
      <c r="B62" s="33">
        <f>LCTCBoard!B62+Online!B62+BRCC!B62+BPCC!B62+Delgado!B62+CentLATCC!B62+Fletcher!B62+LDCC!B62+Northshore!B62+Nunez!B62+RPCC!B62+SLCC!B62+Sowela!B62+LTC!B62</f>
        <v>22438706.03</v>
      </c>
      <c r="C62" s="33">
        <f>LCTCBoard!C62+Online!C62+BRCC!C62+BPCC!C62+Delgado!C62+CentLATCC!C62+Fletcher!C62+LDCC!C62+Northshore!C62+Nunez!C62+RPCC!C62+SLCC!C62+Sowela!C62+LTC!C62</f>
        <v>23736989.85880561</v>
      </c>
      <c r="D62" s="33">
        <f>LCTCBoard!D62+Online!D62+BRCC!D62+BPCC!D62+Delgado!D62+CentLATCC!D62+Fletcher!D62+LDCC!D62+Northshore!D62+Nunez!D62+RPCC!D62+SLCC!D62+Sowela!D62+LTC!D62</f>
        <v>25077518.028805614</v>
      </c>
      <c r="E62" s="33">
        <f t="shared" si="4"/>
        <v>1340528.1700000018</v>
      </c>
      <c r="F62" s="34">
        <f t="shared" si="5"/>
        <v>0.05647422769162585</v>
      </c>
    </row>
    <row r="63" spans="1:6" s="24" customFormat="1" ht="26.25">
      <c r="A63" s="39" t="s">
        <v>59</v>
      </c>
      <c r="B63" s="33">
        <f>LCTCBoard!B63+Online!B63+BRCC!B63+BPCC!B63+Delgado!B63+CentLATCC!B63+Fletcher!B63+LDCC!B63+Northshore!B63+Nunez!B63+RPCC!B63+SLCC!B63+Sowela!B63+LTC!B63</f>
        <v>52606083.28000001</v>
      </c>
      <c r="C63" s="33">
        <f>LCTCBoard!C63+Online!C63+BRCC!C63+BPCC!C63+Delgado!C63+CentLATCC!C63+Fletcher!C63+LDCC!C63+Northshore!C63+Nunez!C63+RPCC!C63+SLCC!C63+Sowela!C63+LTC!C63</f>
        <v>60311099.66557312</v>
      </c>
      <c r="D63" s="33">
        <f>LCTCBoard!D63+Online!D63+BRCC!D63+BPCC!D63+Delgado!D63+CentLATCC!D63+Fletcher!D63+LDCC!D63+Northshore!D63+Nunez!D63+RPCC!D63+SLCC!D63+Sowela!D63+LTC!D63</f>
        <v>60722305.06186177</v>
      </c>
      <c r="E63" s="33">
        <f t="shared" si="4"/>
        <v>411205.39628864825</v>
      </c>
      <c r="F63" s="34">
        <f t="shared" si="5"/>
        <v>0.006818071608191438</v>
      </c>
    </row>
    <row r="64" spans="1:6" s="24" customFormat="1" ht="26.25">
      <c r="A64" s="39" t="s">
        <v>60</v>
      </c>
      <c r="B64" s="33">
        <f>LCTCBoard!B64+Online!B64+BRCC!B64+BPCC!B64+Delgado!B64+CentLATCC!B64+Fletcher!B64+LDCC!B64+Northshore!B64+Nunez!B64+RPCC!B64+SLCC!B64+Sowela!B64+LTC!B64</f>
        <v>5283735.48</v>
      </c>
      <c r="C64" s="33">
        <f>LCTCBoard!C64+Online!C64+BRCC!C64+BPCC!C64+Delgado!C64+CentLATCC!C64+Fletcher!C64+LDCC!C64+Northshore!C64+Nunez!C64+RPCC!C64+SLCC!C64+Sowela!C64+LTC!C64</f>
        <v>6581979.4</v>
      </c>
      <c r="D64" s="33">
        <f>LCTCBoard!D64+Online!D64+BRCC!D64+BPCC!D64+Delgado!D64+CentLATCC!D64+Fletcher!D64+LDCC!D64+Northshore!D64+Nunez!D64+RPCC!D64+SLCC!D64+Sowela!D64+LTC!D64</f>
        <v>83424</v>
      </c>
      <c r="E64" s="33">
        <f t="shared" si="4"/>
        <v>-6498555.4</v>
      </c>
      <c r="F64" s="34">
        <f t="shared" si="5"/>
        <v>-0.9873253933307661</v>
      </c>
    </row>
    <row r="65" spans="1:6" s="24" customFormat="1" ht="26.25">
      <c r="A65" s="39" t="s">
        <v>61</v>
      </c>
      <c r="B65" s="33">
        <f>LCTCBoard!B65+Online!B65+BRCC!B65+BPCC!B65+Delgado!B65+CentLATCC!B65+Fletcher!B65+LDCC!B65+Northshore!B65+Nunez!B65+RPCC!B65+SLCC!B65+Sowela!B65+LTC!B65</f>
        <v>29137390.92</v>
      </c>
      <c r="C65" s="33">
        <f>LCTCBoard!C65+Online!C65+BRCC!C65+BPCC!C65+Delgado!C65+CentLATCC!C65+Fletcher!C65+LDCC!C65+Northshore!C65+Nunez!C65+RPCC!C65+SLCC!C65+Sowela!C65+LTC!C65</f>
        <v>35004283.858052954</v>
      </c>
      <c r="D65" s="33">
        <f>LCTCBoard!D65+Online!D65+BRCC!D65+BPCC!D65+Delgado!D65+CentLATCC!D65+Fletcher!D65+LDCC!D65+Northshore!D65+Nunez!D65+RPCC!D65+SLCC!D65+Sowela!D65+LTC!D65</f>
        <v>33541123.29805295</v>
      </c>
      <c r="E65" s="33">
        <f t="shared" si="4"/>
        <v>-1463160.5600000024</v>
      </c>
      <c r="F65" s="34">
        <f t="shared" si="5"/>
        <v>-0.041799471342802326</v>
      </c>
    </row>
    <row r="66" spans="1:6" s="46" customFormat="1" ht="26.25">
      <c r="A66" s="59" t="s">
        <v>62</v>
      </c>
      <c r="B66" s="52">
        <f>LCTCBoard!B66+Online!B66+BRCC!B66+BPCC!B66+Delgado!B66+CentLATCC!B66+Fletcher!B66+LDCC!B66+Northshore!B66+Nunez!B66+RPCC!B66+SLCC!B66+Sowela!B66+LTC!B66</f>
        <v>264951592.57000005</v>
      </c>
      <c r="C66" s="52">
        <f>LCTCBoard!C66+Online!C66+BRCC!C66+BPCC!C66+Delgado!C66+CentLATCC!C66+Fletcher!C66+LDCC!C66+Northshore!C66+Nunez!C66+RPCC!C66+SLCC!C66+Sowela!C66+LTC!C66</f>
        <v>288705167.00232565</v>
      </c>
      <c r="D66" s="52">
        <f>LCTCBoard!D66+Online!D66+BRCC!D66+BPCC!D66+Delgado!D66+CentLATCC!D66+Fletcher!D66+LDCC!D66+Northshore!D66+Nunez!D66+RPCC!D66+SLCC!D66+Sowela!D66+LTC!D66</f>
        <v>282852037.4329351</v>
      </c>
      <c r="E66" s="52">
        <f t="shared" si="4"/>
        <v>-5853129.569390535</v>
      </c>
      <c r="F66" s="45">
        <f t="shared" si="5"/>
        <v>-0.020273726411496423</v>
      </c>
    </row>
    <row r="67" spans="1:6" s="24" customFormat="1" ht="26.25">
      <c r="A67" s="39" t="s">
        <v>63</v>
      </c>
      <c r="B67" s="33">
        <f>LCTCBoard!B67+Online!B67+BRCC!B67+BPCC!B67+Delgado!B67+CentLATCC!B67+Fletcher!B67+LDCC!B67+Northshore!B67+Nunez!B67+RPCC!B67+SLCC!B67+Sowela!B67+LTC!B67</f>
        <v>0</v>
      </c>
      <c r="C67" s="33">
        <f>LCTCBoard!C67+Online!C67+BRCC!C67+BPCC!C67+Delgado!C67+CentLATCC!C67+Fletcher!C67+LDCC!C67+Northshore!C67+Nunez!C67+RPCC!C67+SLCC!C67+Sowela!C67+LTC!C67</f>
        <v>0</v>
      </c>
      <c r="D67" s="33">
        <f>LCTCBoard!D67+Online!D67+BRCC!D67+BPCC!D67+Delgado!D67+CentLATCC!D67+Fletcher!D67+LDCC!D67+Northshore!D67+Nunez!D67+RPCC!D67+SLCC!D67+Sowela!D67+LTC!D67</f>
        <v>0</v>
      </c>
      <c r="E67" s="33">
        <f t="shared" si="4"/>
        <v>0</v>
      </c>
      <c r="F67" s="34">
        <f t="shared" si="5"/>
        <v>0</v>
      </c>
    </row>
    <row r="68" spans="1:6" s="24" customFormat="1" ht="26.25">
      <c r="A68" s="39" t="s">
        <v>64</v>
      </c>
      <c r="B68" s="33">
        <f>LCTCBoard!B68+Online!B68+BRCC!B68+BPCC!B68+Delgado!B68+CentLATCC!B68+Fletcher!B68+LDCC!B68+Northshore!B68+Nunez!B68+RPCC!B68+SLCC!B68+Sowela!B68+LTC!B68</f>
        <v>8172731.12</v>
      </c>
      <c r="C68" s="33">
        <f>LCTCBoard!C68+Online!C68+BRCC!C68+BPCC!C68+Delgado!C68+CentLATCC!C68+Fletcher!C68+LDCC!C68+Northshore!C68+Nunez!C68+RPCC!C68+SLCC!C68+Sowela!C68+LTC!C68</f>
        <v>8093604.7</v>
      </c>
      <c r="D68" s="33">
        <f>LCTCBoard!D68+Online!D68+BRCC!D68+BPCC!D68+Delgado!D68+CentLATCC!D68+Fletcher!D68+LDCC!D68+Northshore!D68+Nunez!D68+RPCC!D68+SLCC!D68+Sowela!D68+LTC!D68</f>
        <v>8325260</v>
      </c>
      <c r="E68" s="33">
        <f t="shared" si="4"/>
        <v>231655.2999999998</v>
      </c>
      <c r="F68" s="34">
        <f t="shared" si="5"/>
        <v>0.028622018073108983</v>
      </c>
    </row>
    <row r="69" spans="1:6" s="24" customFormat="1" ht="26.25">
      <c r="A69" s="39" t="s">
        <v>65</v>
      </c>
      <c r="B69" s="33">
        <f>LCTCBoard!B69+Online!B69+BRCC!B69+BPCC!B69+Delgado!B69+CentLATCC!B69+Fletcher!B69+LDCC!B69+Northshore!B69+Nunez!B69+RPCC!B69+SLCC!B69+Sowela!B69+LTC!B69</f>
        <v>1487992.09</v>
      </c>
      <c r="C69" s="33">
        <f>LCTCBoard!C69+Online!C69+BRCC!C69+BPCC!C69+Delgado!C69+CentLATCC!C69+Fletcher!C69+LDCC!C69+Northshore!C69+Nunez!C69+RPCC!C69+SLCC!C69+Sowela!C69+LTC!C69</f>
        <v>1496566</v>
      </c>
      <c r="D69" s="33">
        <f>LCTCBoard!D69+Online!D69+BRCC!D69+BPCC!D69+Delgado!D69+CentLATCC!D69+Fletcher!D69+LDCC!D69+Northshore!D69+Nunez!D69+RPCC!D69+SLCC!D69+Sowela!D69+LTC!D69</f>
        <v>1231473</v>
      </c>
      <c r="E69" s="33">
        <f t="shared" si="4"/>
        <v>-265093</v>
      </c>
      <c r="F69" s="34">
        <f t="shared" si="5"/>
        <v>-0.17713418586283533</v>
      </c>
    </row>
    <row r="70" spans="1:6" s="24" customFormat="1" ht="26.25">
      <c r="A70" s="39" t="s">
        <v>66</v>
      </c>
      <c r="B70" s="33">
        <f>LCTCBoard!B70+Online!B70+BRCC!B70+BPCC!B70+Delgado!B70+CentLATCC!B70+Fletcher!B70+LDCC!B70+Northshore!B70+Nunez!B70+RPCC!B70+SLCC!B70+Sowela!B70+LTC!B70</f>
        <v>10798412.5</v>
      </c>
      <c r="C70" s="33">
        <f>LCTCBoard!C70+Online!C70+BRCC!C70+BPCC!C70+Delgado!C70+CentLATCC!C70+Fletcher!C70+LDCC!C70+Northshore!C70+Nunez!C70+RPCC!C70+SLCC!C70+Sowela!C70+LTC!C70</f>
        <v>10995977</v>
      </c>
      <c r="D70" s="33">
        <f>LCTCBoard!D70+Online!D70+BRCC!D70+BPCC!D70+Delgado!D70+CentLATCC!D70+Fletcher!D70+LDCC!D70+Northshore!D70+Nunez!D70+RPCC!D70+SLCC!D70+Sowela!D70+LTC!D70</f>
        <v>10557405</v>
      </c>
      <c r="E70" s="33">
        <f t="shared" si="4"/>
        <v>-438572</v>
      </c>
      <c r="F70" s="34">
        <f t="shared" si="5"/>
        <v>-0.039884768765885925</v>
      </c>
    </row>
    <row r="71" spans="1:6" s="46" customFormat="1" ht="26.25">
      <c r="A71" s="60" t="s">
        <v>67</v>
      </c>
      <c r="B71" s="52">
        <f>LCTCBoard!B71+Online!B71+BRCC!B71+BPCC!B71+Delgado!B71+CentLATCC!B71+Fletcher!B71+LDCC!B71+Northshore!B71+Nunez!B71+RPCC!B71+SLCC!B71+Sowela!B71+LTC!B71+1</f>
        <v>285410729.28</v>
      </c>
      <c r="C71" s="52">
        <f>LCTCBoard!C71+Online!C71+BRCC!C71+BPCC!C71+Delgado!C71+CentLATCC!C71+Fletcher!C71+LDCC!C71+Northshore!C71+Nunez!C71+RPCC!C71+SLCC!C71+Sowela!C71+LTC!C71-9</f>
        <v>309291305.70232564</v>
      </c>
      <c r="D71" s="52">
        <f>LCTCBoard!D71+Online!D71+BRCC!D71+BPCC!D71+Delgado!D71+CentLATCC!D71+Fletcher!D71+LDCC!D71+Northshore!D71+Nunez!D71+RPCC!D71+SLCC!D71+Sowela!D71+LTC!D71+1</f>
        <v>302966176.4329351</v>
      </c>
      <c r="E71" s="52">
        <f t="shared" si="4"/>
        <v>-6325129.269390523</v>
      </c>
      <c r="F71" s="45">
        <f t="shared" si="5"/>
        <v>-0.020450394669283337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LCTCBoard!B74+Online!B74+BRCC!B74+BPCC!B74+Delgado!B74+CentLATCC!B74+Fletcher!B74+LDCC!B74+Northshore!B74+Nunez!B74+RPCC!B74+SLCC!B74+Sowela!B74+LTC!B74</f>
        <v>150505400.11</v>
      </c>
      <c r="C74" s="33">
        <f>LCTCBoard!C74+Online!C74+BRCC!C74+BPCC!C74+Delgado!C74+CentLATCC!C74+Fletcher!C74+LDCC!C74+Northshore!C74+Nunez!C74+RPCC!C74+SLCC!C74+Sowela!C74+LTC!C74</f>
        <v>158271179.16431004</v>
      </c>
      <c r="D74" s="33">
        <f>LCTCBoard!D74+Online!D74+BRCC!D74+BPCC!D74+Delgado!D74+CentLATCC!D74+Fletcher!D74+LDCC!D74+Northshore!D74+Nunez!D74+RPCC!D74+SLCC!D74+Sowela!D74+LTC!D74</f>
        <v>154862332.70984048</v>
      </c>
      <c r="E74" s="33">
        <f aca="true" t="shared" si="6" ref="E74:E92">D74-C74</f>
        <v>-3408846.4544695616</v>
      </c>
      <c r="F74" s="34">
        <f aca="true" t="shared" si="7" ref="F74:F92">IF(ISBLANK(E74),"  ",IF(C74&gt;0,E74/C74,IF(E74&gt;0,1,0)))</f>
        <v>-0.021538011357902693</v>
      </c>
    </row>
    <row r="75" spans="1:6" s="24" customFormat="1" ht="26.25">
      <c r="A75" s="39" t="s">
        <v>70</v>
      </c>
      <c r="B75" s="33">
        <f>LCTCBoard!B75+Online!B75+BRCC!B75+BPCC!B75+Delgado!B75+CentLATCC!B75+Fletcher!B75+LDCC!B75+Northshore!B75+Nunez!B75+RPCC!B75+SLCC!B75+Sowela!B75+LTC!B75</f>
        <v>1875624.52</v>
      </c>
      <c r="C75" s="33">
        <f>LCTCBoard!C75+Online!C75+BRCC!C75+BPCC!C75+Delgado!C75+CentLATCC!C75+Fletcher!C75+LDCC!C75+Northshore!C75+Nunez!C75+RPCC!C75+SLCC!C75+Sowela!C75+LTC!C75</f>
        <v>2511351.737396737</v>
      </c>
      <c r="D75" s="33">
        <f>LCTCBoard!D75+Online!D75+BRCC!D75+BPCC!D75+Delgado!D75+CentLATCC!D75+Fletcher!D75+LDCC!D75+Northshore!D75+Nunez!D75+RPCC!D75+SLCC!D75+Sowela!D75+LTC!D75</f>
        <v>2043137.737396737</v>
      </c>
      <c r="E75" s="33">
        <f t="shared" si="6"/>
        <v>-468214</v>
      </c>
      <c r="F75" s="34">
        <f t="shared" si="7"/>
        <v>-0.1864390372036654</v>
      </c>
    </row>
    <row r="76" spans="1:6" s="24" customFormat="1" ht="26.25">
      <c r="A76" s="39" t="s">
        <v>71</v>
      </c>
      <c r="B76" s="33">
        <f>LCTCBoard!B76+Online!B76+BRCC!B76+BPCC!B76+Delgado!B76+CentLATCC!B76+Fletcher!B76+LDCC!B76+Northshore!B76+Nunez!B76+RPCC!B76+SLCC!B76+Sowela!B76+LTC!B76</f>
        <v>62036225.910000004</v>
      </c>
      <c r="C76" s="33">
        <f>LCTCBoard!C76+Online!C76+BRCC!C76+BPCC!C76+Delgado!C76+CentLATCC!C76+Fletcher!C76+LDCC!C76+Northshore!C76+Nunez!C76+RPCC!C76+SLCC!C76+Sowela!C76+LTC!C76</f>
        <v>65399879.83146983</v>
      </c>
      <c r="D76" s="33">
        <f>LCTCBoard!D76+Online!D76+BRCC!D76+BPCC!D76+Delgado!D76+CentLATCC!D76+Fletcher!D76+LDCC!D76+Northshore!D76+Nunez!D76+RPCC!D76+SLCC!D76+Sowela!D76+LTC!D76</f>
        <v>68056260.95654885</v>
      </c>
      <c r="E76" s="33">
        <f t="shared" si="6"/>
        <v>2656381.1250790283</v>
      </c>
      <c r="F76" s="34">
        <f t="shared" si="7"/>
        <v>0.04061752302793685</v>
      </c>
    </row>
    <row r="77" spans="1:6" s="46" customFormat="1" ht="26.25">
      <c r="A77" s="59" t="s">
        <v>72</v>
      </c>
      <c r="B77" s="52">
        <f>LCTCBoard!B77+Online!B77+BRCC!B77+BPCC!B77+Delgado!B77+CentLATCC!B77+Fletcher!B77+LDCC!B77+Northshore!B77+Nunez!B77+RPCC!B77+SLCC!B77+Sowela!B77+LTC!B77</f>
        <v>214417250.54000002</v>
      </c>
      <c r="C77" s="52">
        <f>LCTCBoard!C77+Online!C77+BRCC!C77+BPCC!C77+Delgado!C77+CentLATCC!C77+Fletcher!C77+LDCC!C77+Northshore!C77+Nunez!C77+RPCC!C77+SLCC!C77+Sowela!C77+LTC!C77</f>
        <v>226182410.7331766</v>
      </c>
      <c r="D77" s="52">
        <f>LCTCBoard!D77+Online!D77+BRCC!D77+BPCC!D77+Delgado!D77+CentLATCC!D77+Fletcher!D77+LDCC!D77+Northshore!D77+Nunez!D77+RPCC!D77+SLCC!D77+Sowela!D77+LTC!D77</f>
        <v>224961731.4037861</v>
      </c>
      <c r="E77" s="52">
        <f t="shared" si="6"/>
        <v>-1220679.329390496</v>
      </c>
      <c r="F77" s="45">
        <f t="shared" si="7"/>
        <v>-0.005396880002444177</v>
      </c>
    </row>
    <row r="78" spans="1:6" s="24" customFormat="1" ht="26.25">
      <c r="A78" s="39" t="s">
        <v>73</v>
      </c>
      <c r="B78" s="33">
        <f>LCTCBoard!B78+Online!B78+BRCC!B78+BPCC!B78+Delgado!B78+CentLATCC!B78+Fletcher!B78+LDCC!B78+Northshore!B78+Nunez!B78+RPCC!B78+SLCC!B78+Sowela!B78+LTC!B78</f>
        <v>823657.3099999999</v>
      </c>
      <c r="C78" s="33">
        <f>LCTCBoard!C78+Online!C78+BRCC!C78+BPCC!C78+Delgado!C78+CentLATCC!C78+Fletcher!C78+LDCC!C78+Northshore!C78+Nunez!C78+RPCC!C78+SLCC!C78+Sowela!C78+LTC!C78</f>
        <v>960529.06</v>
      </c>
      <c r="D78" s="33">
        <f>LCTCBoard!D78+Online!D78+BRCC!D78+BPCC!D78+Delgado!D78+CentLATCC!D78+Fletcher!D78+LDCC!D78+Northshore!D78+Nunez!D78+RPCC!D78+SLCC!D78+Sowela!D78+LTC!D78</f>
        <v>1308633.45</v>
      </c>
      <c r="E78" s="33">
        <f t="shared" si="6"/>
        <v>348104.3899999999</v>
      </c>
      <c r="F78" s="34">
        <f t="shared" si="7"/>
        <v>0.36240901446542373</v>
      </c>
    </row>
    <row r="79" spans="1:6" s="24" customFormat="1" ht="26.25">
      <c r="A79" s="39" t="s">
        <v>74</v>
      </c>
      <c r="B79" s="33">
        <f>LCTCBoard!B79+Online!B79+BRCC!B79+BPCC!B79+Delgado!B79+CentLATCC!B79+Fletcher!B79+LDCC!B79+Northshore!B79+Nunez!B79+RPCC!B79+SLCC!B79+Sowela!B79+LTC!B79</f>
        <v>29467050.979999997</v>
      </c>
      <c r="C79" s="33">
        <f>LCTCBoard!C79+Online!C79+BRCC!C79+BPCC!C79+Delgado!C79+CentLATCC!C79+Fletcher!C79+LDCC!C79+Northshore!C79+Nunez!C79+RPCC!C79+SLCC!C79+Sowela!C79+LTC!C79</f>
        <v>34021695.15684352</v>
      </c>
      <c r="D79" s="33">
        <f>LCTCBoard!D79+Online!D79+BRCC!D79+BPCC!D79+Delgado!D79+CentLATCC!D79+Fletcher!D79+LDCC!D79+Northshore!D79+Nunez!D79+RPCC!D79+SLCC!D79+Sowela!D79+LTC!D79</f>
        <v>33772212.27684352</v>
      </c>
      <c r="E79" s="33">
        <f t="shared" si="6"/>
        <v>-249482.88000000268</v>
      </c>
      <c r="F79" s="34">
        <f t="shared" si="7"/>
        <v>-0.0073330525962877775</v>
      </c>
    </row>
    <row r="80" spans="1:6" s="24" customFormat="1" ht="26.25">
      <c r="A80" s="39" t="s">
        <v>75</v>
      </c>
      <c r="B80" s="33">
        <f>LCTCBoard!B80+Online!B80+BRCC!B80+BPCC!B80+Delgado!B80+CentLATCC!B80+Fletcher!B80+LDCC!B80+Northshore!B80+Nunez!B80+RPCC!B80+SLCC!B80+Sowela!B80+LTC!B80</f>
        <v>3733867.12</v>
      </c>
      <c r="C80" s="33">
        <f>LCTCBoard!C80+Online!C80+BRCC!C80+BPCC!C80+Delgado!C80+CentLATCC!C80+Fletcher!C80+LDCC!C80+Northshore!C80+Nunez!C80+RPCC!C80+SLCC!C80+Sowela!C80+LTC!C80</f>
        <v>4666921.753460983</v>
      </c>
      <c r="D80" s="33">
        <f>LCTCBoard!D80+Online!D80+BRCC!D80+BPCC!D80+Delgado!D80+CentLATCC!D80+Fletcher!D80+LDCC!D80+Northshore!D80+Nunez!D80+RPCC!D80+SLCC!D80+Sowela!D80+LTC!D80</f>
        <v>5657649.093460983</v>
      </c>
      <c r="E80" s="33">
        <f t="shared" si="6"/>
        <v>990727.3399999999</v>
      </c>
      <c r="F80" s="34">
        <f t="shared" si="7"/>
        <v>0.21228711179168105</v>
      </c>
    </row>
    <row r="81" spans="1:6" s="46" customFormat="1" ht="26.25">
      <c r="A81" s="42" t="s">
        <v>76</v>
      </c>
      <c r="B81" s="52">
        <f>LCTCBoard!B81+Online!B81+BRCC!B81+BPCC!B81+Delgado!B81+CentLATCC!B81+Fletcher!B81+LDCC!B81+Northshore!B81+Nunez!B81+RPCC!B81+SLCC!B81+Sowela!B81+LTC!B81</f>
        <v>34024575.41</v>
      </c>
      <c r="C81" s="52">
        <f>LCTCBoard!C81+Online!C81+BRCC!C81+BPCC!C81+Delgado!C81+CentLATCC!C81+Fletcher!C81+LDCC!C81+Northshore!C81+Nunez!C81+RPCC!C81+SLCC!C81+Sowela!C81+LTC!C81</f>
        <v>39649145.970304504</v>
      </c>
      <c r="D81" s="52">
        <f>LCTCBoard!D81+Online!D81+BRCC!D81+BPCC!D81+Delgado!D81+CentLATCC!D81+Fletcher!D81+LDCC!D81+Northshore!D81+Nunez!D81+RPCC!D81+SLCC!D81+Sowela!D81+LTC!D81</f>
        <v>40738494.8203045</v>
      </c>
      <c r="E81" s="52">
        <f t="shared" si="6"/>
        <v>1089348.849999994</v>
      </c>
      <c r="F81" s="45">
        <f t="shared" si="7"/>
        <v>0.027474711581830017</v>
      </c>
    </row>
    <row r="82" spans="1:6" s="24" customFormat="1" ht="26.25">
      <c r="A82" s="39" t="s">
        <v>77</v>
      </c>
      <c r="B82" s="33">
        <f>LCTCBoard!B82+Online!B82+BRCC!B82+BPCC!B82+Delgado!B82+CentLATCC!B82+Fletcher!B82+LDCC!B82+Northshore!B82+Nunez!B82+RPCC!B82+SLCC!B82+Sowela!B82+LTC!B82</f>
        <v>4067100.95</v>
      </c>
      <c r="C82" s="33">
        <f>LCTCBoard!C82+Online!C82+BRCC!C82+BPCC!C82+Delgado!C82+CentLATCC!C82+Fletcher!C82+LDCC!C82+Northshore!C82+Nunez!C82+RPCC!C82+SLCC!C82+Sowela!C82+LTC!C82</f>
        <v>4825853.67</v>
      </c>
      <c r="D82" s="33">
        <f>LCTCBoard!D82+Online!D82+BRCC!D82+BPCC!D82+Delgado!D82+CentLATCC!D82+Fletcher!D82+LDCC!D82+Northshore!D82+Nunez!D82+RPCC!D82+SLCC!D82+Sowela!D82+LTC!D82</f>
        <v>5070719</v>
      </c>
      <c r="E82" s="33">
        <f t="shared" si="6"/>
        <v>244865.33000000007</v>
      </c>
      <c r="F82" s="34">
        <f t="shared" si="7"/>
        <v>0.05074031388937661</v>
      </c>
    </row>
    <row r="83" spans="1:6" s="24" customFormat="1" ht="26.25">
      <c r="A83" s="39" t="s">
        <v>78</v>
      </c>
      <c r="B83" s="33">
        <f>LCTCBoard!B83+Online!B83+BRCC!B83+BPCC!B83+Delgado!B83+CentLATCC!B83+Fletcher!B83+LDCC!B83+Northshore!B83+Nunez!B83+RPCC!B83+SLCC!B83+Sowela!B83+LTC!B83</f>
        <v>20937547.919999998</v>
      </c>
      <c r="C83" s="33">
        <f>LCTCBoard!C83+Online!C83+BRCC!C83+BPCC!C83+Delgado!C83+CentLATCC!C83+Fletcher!C83+LDCC!C83+Northshore!C83+Nunez!C83+RPCC!C83+SLCC!C83+Sowela!C83+LTC!C83</f>
        <v>27015426.38</v>
      </c>
      <c r="D83" s="33">
        <f>LCTCBoard!D83+Online!D83+BRCC!D83+BPCC!D83+Delgado!D83+CentLATCC!D83+Fletcher!D83+LDCC!D83+Northshore!D83+Nunez!D83+RPCC!D83+SLCC!D83+Sowela!D83+LTC!D83</f>
        <v>21244356.18</v>
      </c>
      <c r="E83" s="33">
        <f t="shared" si="6"/>
        <v>-5771070.199999999</v>
      </c>
      <c r="F83" s="34">
        <f t="shared" si="7"/>
        <v>-0.21362128877123424</v>
      </c>
    </row>
    <row r="84" spans="1:6" s="24" customFormat="1" ht="26.25">
      <c r="A84" s="39" t="s">
        <v>79</v>
      </c>
      <c r="B84" s="33">
        <f>LCTCBoard!B84+Online!B84+BRCC!B84+BPCC!B84+Delgado!B84+CentLATCC!B84+Fletcher!B84+LDCC!B84+Northshore!B84+Nunez!B84+RPCC!B84+SLCC!B84+Sowela!B84+LTC!B84</f>
        <v>267931</v>
      </c>
      <c r="C84" s="33">
        <f>LCTCBoard!C84+Online!C84+BRCC!C84+BPCC!C84+Delgado!C84+CentLATCC!C84+Fletcher!C84+LDCC!C84+Northshore!C84+Nunez!C84+RPCC!C84+SLCC!C84+Sowela!C84+LTC!C84</f>
        <v>0</v>
      </c>
      <c r="D84" s="33">
        <f>LCTCBoard!D84+Online!D84+BRCC!D84+BPCC!D84+Delgado!D84+CentLATCC!D84+Fletcher!D84+LDCC!D84+Northshore!D84+Nunez!D84+RPCC!D84+SLCC!D84+Sowela!D84+LTC!D84</f>
        <v>105000</v>
      </c>
      <c r="E84" s="33">
        <f t="shared" si="6"/>
        <v>105000</v>
      </c>
      <c r="F84" s="34">
        <f t="shared" si="7"/>
        <v>1</v>
      </c>
    </row>
    <row r="85" spans="1:6" s="24" customFormat="1" ht="26.25">
      <c r="A85" s="39" t="s">
        <v>80</v>
      </c>
      <c r="B85" s="33">
        <f>LCTCBoard!B85+Online!B85+BRCC!B85+BPCC!B85+Delgado!B85+CentLATCC!B85+Fletcher!B85+LDCC!B85+Northshore!B85+Nunez!B85+RPCC!B85+SLCC!B85+Sowela!B85+LTC!B85</f>
        <v>8324695.12</v>
      </c>
      <c r="C85" s="33">
        <f>LCTCBoard!C85+Online!C85+BRCC!C85+BPCC!C85+Delgado!C85+CentLATCC!C85+Fletcher!C85+LDCC!C85+Northshore!C85+Nunez!C85+RPCC!C85+SLCC!C85+Sowela!C85+LTC!C85</f>
        <v>8186027.7</v>
      </c>
      <c r="D85" s="33">
        <f>LCTCBoard!D85+Online!D85+BRCC!D85+BPCC!D85+Delgado!D85+CentLATCC!D85+Fletcher!D85+LDCC!D85+Northshore!D85+Nunez!D85+RPCC!D85+SLCC!D85+Sowela!D85+LTC!D85</f>
        <v>8507738</v>
      </c>
      <c r="E85" s="33">
        <f t="shared" si="6"/>
        <v>321710.2999999998</v>
      </c>
      <c r="F85" s="34">
        <f t="shared" si="7"/>
        <v>0.03929992809577224</v>
      </c>
    </row>
    <row r="86" spans="1:6" s="46" customFormat="1" ht="26.25">
      <c r="A86" s="42" t="s">
        <v>81</v>
      </c>
      <c r="B86" s="52">
        <f>LCTCBoard!B86+Online!B86+BRCC!B86+BPCC!B86+Delgado!B86+CentLATCC!B86+Fletcher!B86+LDCC!B86+Northshore!B86+Nunez!B86+RPCC!B86+SLCC!B86+Sowela!B86+LTC!B86</f>
        <v>33597274.99</v>
      </c>
      <c r="C86" s="52">
        <f>LCTCBoard!C86+Online!C86+BRCC!C86+BPCC!C86+Delgado!C86+CentLATCC!C86+Fletcher!C86+LDCC!C86+Northshore!C86+Nunez!C86+RPCC!C86+SLCC!C86+Sowela!C86+LTC!C86</f>
        <v>40027307.75</v>
      </c>
      <c r="D86" s="52">
        <f>LCTCBoard!D86+Online!D86+BRCC!D86+BPCC!D86+Delgado!D86+CentLATCC!D86+Fletcher!D86+LDCC!D86+Northshore!D86+Nunez!D86+RPCC!D86+SLCC!D86+Sowela!D86+LTC!D86</f>
        <v>34927813.18</v>
      </c>
      <c r="E86" s="52">
        <f t="shared" si="6"/>
        <v>-5099494.57</v>
      </c>
      <c r="F86" s="45">
        <f t="shared" si="7"/>
        <v>-0.1274003888008181</v>
      </c>
    </row>
    <row r="87" spans="1:6" s="24" customFormat="1" ht="26.25">
      <c r="A87" s="39" t="s">
        <v>82</v>
      </c>
      <c r="B87" s="33">
        <f>LCTCBoard!B87+Online!B87+BRCC!B87+BPCC!B87+Delgado!B87+CentLATCC!B87+Fletcher!B87+LDCC!B87+Northshore!B87+Nunez!B87+RPCC!B87+SLCC!B87+Sowela!B87+LTC!B87</f>
        <v>3041239.8400000003</v>
      </c>
      <c r="C87" s="33">
        <f>LCTCBoard!C87+Online!C87+BRCC!C87+BPCC!C87+Delgado!C87+CentLATCC!C87+Fletcher!C87+LDCC!C87+Northshore!C87+Nunez!C87+RPCC!C87+SLCC!C87+Sowela!C87+LTC!C87</f>
        <v>3013327.22</v>
      </c>
      <c r="D87" s="33">
        <f>LCTCBoard!D87+Online!D87+BRCC!D87+BPCC!D87+Delgado!D87+CentLATCC!D87+Fletcher!D87+LDCC!D87+Northshore!D87+Nunez!D87+RPCC!D87+SLCC!D87+Sowela!D87+LTC!D87</f>
        <v>1988436.0288445419</v>
      </c>
      <c r="E87" s="33">
        <f t="shared" si="6"/>
        <v>-1024891.1911554583</v>
      </c>
      <c r="F87" s="34">
        <f t="shared" si="7"/>
        <v>-0.3401194481479042</v>
      </c>
    </row>
    <row r="88" spans="1:6" s="24" customFormat="1" ht="26.25">
      <c r="A88" s="39" t="s">
        <v>83</v>
      </c>
      <c r="B88" s="33">
        <f>LCTCBoard!B88+Online!B88+BRCC!B88+BPCC!B88+Delgado!B88+CentLATCC!B88+Fletcher!B88+LDCC!B88+Northshore!B88+Nunez!B88+RPCC!B88+SLCC!B88+Sowela!B88+LTC!B88</f>
        <v>262436</v>
      </c>
      <c r="C88" s="33">
        <f>LCTCBoard!C88+Online!C88+BRCC!C88+BPCC!C88+Delgado!C88+CentLATCC!C88+Fletcher!C88+LDCC!C88+Northshore!C88+Nunez!C88+RPCC!C88+SLCC!C88+Sowela!C88+LTC!C88</f>
        <v>294123.0288445419</v>
      </c>
      <c r="D88" s="33">
        <f>LCTCBoard!D88+Online!D88+BRCC!D88+BPCC!D88+Delgado!D88+CentLATCC!D88+Fletcher!D88+LDCC!D88+Northshore!D88+Nunez!D88+RPCC!D88+SLCC!D88+Sowela!D88+LTC!D88</f>
        <v>309700</v>
      </c>
      <c r="E88" s="33">
        <f t="shared" si="6"/>
        <v>15576.971155458072</v>
      </c>
      <c r="F88" s="34">
        <f t="shared" si="7"/>
        <v>0.05296073284928412</v>
      </c>
    </row>
    <row r="89" spans="1:6" s="24" customFormat="1" ht="26.25">
      <c r="A89" s="48" t="s">
        <v>84</v>
      </c>
      <c r="B89" s="33">
        <f>LCTCBoard!B89+Online!B89+BRCC!B89+BPCC!B89+Delgado!B89+CentLATCC!B89+Fletcher!B89+LDCC!B89+Northshore!B89+Nunez!B89+RPCC!B89+SLCC!B89+Sowela!B89+LTC!B89</f>
        <v>67951.5</v>
      </c>
      <c r="C89" s="33">
        <f>LCTCBoard!C89+Online!C89+BRCC!C89+BPCC!C89+Delgado!C89+CentLATCC!C89+Fletcher!C89+LDCC!C89+Northshore!C89+Nunez!C89+RPCC!C89+SLCC!C89+Sowela!C89+LTC!C89</f>
        <v>125000</v>
      </c>
      <c r="D89" s="33">
        <f>LCTCBoard!D89+Online!D89+BRCC!D89+BPCC!D89+Delgado!D89+CentLATCC!D89+Fletcher!D89+LDCC!D89+Northshore!D89+Nunez!D89+RPCC!D89+SLCC!D89+Sowela!D89+LTC!D89</f>
        <v>40000</v>
      </c>
      <c r="E89" s="33">
        <f t="shared" si="6"/>
        <v>-85000</v>
      </c>
      <c r="F89" s="34">
        <f t="shared" si="7"/>
        <v>-0.68</v>
      </c>
    </row>
    <row r="90" spans="1:6" s="46" customFormat="1" ht="26.25">
      <c r="A90" s="62" t="s">
        <v>85</v>
      </c>
      <c r="B90" s="52">
        <f>LCTCBoard!B90+Online!B90+BRCC!B90+BPCC!B90+Delgado!B90+CentLATCC!B90+Fletcher!B90+LDCC!B90+Northshore!B90+Nunez!B90+RPCC!B90+SLCC!B90+Sowela!B90+LTC!B90</f>
        <v>3371627.3400000003</v>
      </c>
      <c r="C90" s="52">
        <f>LCTCBoard!C90+Online!C90+BRCC!C90+BPCC!C90+Delgado!C90+CentLATCC!C90+Fletcher!C90+LDCC!C90+Northshore!C90+Nunez!C90+RPCC!C90+SLCC!C90+Sowela!C90+LTC!C90</f>
        <v>3432450.248844542</v>
      </c>
      <c r="D90" s="52">
        <f>LCTCBoard!D90+Online!D90+BRCC!D90+BPCC!D90+Delgado!D90+CentLATCC!D90+Fletcher!D90+LDCC!D90+Northshore!D90+Nunez!D90+RPCC!D90+SLCC!D90+Sowela!D90+LTC!D90</f>
        <v>2338136.028844542</v>
      </c>
      <c r="E90" s="52">
        <f t="shared" si="6"/>
        <v>-1094314.2200000002</v>
      </c>
      <c r="F90" s="45">
        <f t="shared" si="7"/>
        <v>-0.3188142990181363</v>
      </c>
    </row>
    <row r="91" spans="1:6" s="24" customFormat="1" ht="26.25">
      <c r="A91" s="48" t="s">
        <v>86</v>
      </c>
      <c r="B91" s="33">
        <f>LCTCBoard!B91+Online!B91+BRCC!B91+BPCC!B91+Delgado!B91+CentLATCC!B91+Fletcher!B91+LDCC!B91+Northshore!B91+Nunez!B91+RPCC!B91+SLCC!B91+Sowela!B91+LTC!B91</f>
        <v>0</v>
      </c>
      <c r="C91" s="33">
        <f>LCTCBoard!C91+Online!C91+BRCC!C91+BPCC!C91+Delgado!C91+CentLATCC!C91+Fletcher!C91+LDCC!C91+Northshore!C91+Nunez!C91+RPCC!C91+SLCC!C91+Sowela!C91+LTC!C91</f>
        <v>0</v>
      </c>
      <c r="D91" s="33">
        <f>LCTCBoard!D91+Online!D91+BRCC!D91+BPCC!D91+Delgado!D91+CentLATCC!D91+Fletcher!D91+LDCC!D91+Northshore!D91+Nunez!D91+RPCC!D91+SLCC!D91+Sowela!D91+LTC!D91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85">
        <f>LCTCBoard!B92+Online!B92+BRCC!B92+BPCC!B92+Delgado!B92+CentLATCC!B92+Fletcher!B92+LDCC!B92+Northshore!B92+Nunez!B92+RPCC!B92+SLCC!B92+Sowela!B92+LTC!B92+1</f>
        <v>285410729.28</v>
      </c>
      <c r="C92" s="85">
        <f>LCTCBoard!C92+Online!C92+BRCC!C92+BPCC!C92+Delgado!C92+CentLATCC!C92+Fletcher!C92+LDCC!C92+Northshore!C92+Nunez!C92+RPCC!C92+SLCC!C92+Sowela!C92+LTC!C92-9</f>
        <v>309291305.70232564</v>
      </c>
      <c r="D92" s="85">
        <f>LCTCBoard!D92+Online!D92+BRCC!D92+BPCC!D92+Delgado!D92+CentLATCC!D92+Fletcher!D92+LDCC!D92+Northshore!D92+Nunez!D92+RPCC!D92+SLCC!D92+Sowela!D92+LTC!D92+1</f>
        <v>302966176.4329351</v>
      </c>
      <c r="E92" s="68">
        <f t="shared" si="6"/>
        <v>-6325129.269390523</v>
      </c>
      <c r="F92" s="69">
        <f t="shared" si="7"/>
        <v>-0.020450394669283337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6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" t="s">
        <v>105</v>
      </c>
      <c r="E1" s="96"/>
      <c r="F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6990194</v>
      </c>
      <c r="C8" s="33">
        <v>6990194</v>
      </c>
      <c r="D8" s="33">
        <v>7099163</v>
      </c>
      <c r="E8" s="33">
        <f aca="true" t="shared" si="0" ref="E8:E29">D8-C8</f>
        <v>108969</v>
      </c>
      <c r="F8" s="34">
        <f aca="true" t="shared" si="1" ref="F8:F29">IF(ISBLANK(E8),"  ",IF(C8&gt;0,E8/C8,IF(E8&gt;0,1,0)))</f>
        <v>0.01558883773468948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10000000</v>
      </c>
      <c r="C10" s="36">
        <v>10000000</v>
      </c>
      <c r="D10" s="36">
        <v>10000000</v>
      </c>
      <c r="E10" s="36">
        <f t="shared" si="0"/>
        <v>0</v>
      </c>
      <c r="F10" s="34">
        <f t="shared" si="1"/>
        <v>0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0</v>
      </c>
      <c r="C12" s="38">
        <v>0</v>
      </c>
      <c r="D12" s="38">
        <v>0</v>
      </c>
      <c r="E12" s="36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10000000</v>
      </c>
      <c r="C24" s="38">
        <v>10000000</v>
      </c>
      <c r="D24" s="38">
        <v>10000000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16990194</v>
      </c>
      <c r="C35" s="44">
        <v>16990194</v>
      </c>
      <c r="D35" s="44">
        <v>17099163</v>
      </c>
      <c r="E35" s="44">
        <f>D35-C35</f>
        <v>108969</v>
      </c>
      <c r="F35" s="45">
        <f>IF(ISBLANK(E35),"  ",IF(C35&gt;0,E35/C35,IF(E35&gt;0,1,0)))</f>
        <v>0.006413640715344392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0</v>
      </c>
      <c r="C48" s="50">
        <v>0</v>
      </c>
      <c r="D48" s="50">
        <v>0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16990194</v>
      </c>
      <c r="C54" s="50">
        <v>16990194</v>
      </c>
      <c r="D54" s="50">
        <v>17099163</v>
      </c>
      <c r="E54" s="50">
        <f>D54-C54</f>
        <v>108969</v>
      </c>
      <c r="F54" s="45">
        <f>IF(ISBLANK(E54),"  ",IF(C54&gt;0,E54/C54,IF(E54&gt;0,1,0)))</f>
        <v>0.006413640715344392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2444258.1799999997</v>
      </c>
      <c r="C61" s="38">
        <v>2444258.1799999997</v>
      </c>
      <c r="D61" s="38">
        <v>2444258.1799999997</v>
      </c>
      <c r="E61" s="38">
        <f t="shared" si="4"/>
        <v>0</v>
      </c>
      <c r="F61" s="34">
        <f t="shared" si="5"/>
        <v>0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3984246</v>
      </c>
      <c r="C63" s="38">
        <v>3984246</v>
      </c>
      <c r="D63" s="38">
        <v>4073675.8200000003</v>
      </c>
      <c r="E63" s="38">
        <f t="shared" si="4"/>
        <v>89429.8200000003</v>
      </c>
      <c r="F63" s="34">
        <f t="shared" si="5"/>
        <v>0.02244585801177947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0</v>
      </c>
      <c r="C65" s="38">
        <v>0</v>
      </c>
      <c r="D65" s="38">
        <v>0</v>
      </c>
      <c r="E65" s="38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44">
        <v>6428504.18</v>
      </c>
      <c r="C66" s="44">
        <v>6428504.18</v>
      </c>
      <c r="D66" s="44">
        <v>6517934</v>
      </c>
      <c r="E66" s="44">
        <f t="shared" si="4"/>
        <v>89429.8200000003</v>
      </c>
      <c r="F66" s="45">
        <f t="shared" si="5"/>
        <v>0.013911450859475104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561689.7</v>
      </c>
      <c r="C68" s="38">
        <v>561689.7</v>
      </c>
      <c r="D68" s="38">
        <v>581229</v>
      </c>
      <c r="E68" s="38">
        <f t="shared" si="4"/>
        <v>19539.300000000047</v>
      </c>
      <c r="F68" s="34">
        <f t="shared" si="5"/>
        <v>0.03478664465451307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10000000</v>
      </c>
      <c r="C70" s="38">
        <v>10000000</v>
      </c>
      <c r="D70" s="38">
        <v>10000000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16990193.88</v>
      </c>
      <c r="C71" s="61">
        <v>16990193.88</v>
      </c>
      <c r="D71" s="61">
        <v>17099163</v>
      </c>
      <c r="E71" s="61">
        <f t="shared" si="4"/>
        <v>108969.12000000104</v>
      </c>
      <c r="F71" s="45">
        <f t="shared" si="5"/>
        <v>0.006413647823540967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2805807</v>
      </c>
      <c r="C74" s="33">
        <v>2805807</v>
      </c>
      <c r="D74" s="33">
        <v>2868785.745530457</v>
      </c>
      <c r="E74" s="29">
        <f aca="true" t="shared" si="6" ref="E74:E92">D74-C74</f>
        <v>62978.74553045677</v>
      </c>
      <c r="F74" s="34">
        <f aca="true" t="shared" si="7" ref="F74:F92">IF(ISBLANK(E74),"  ",IF(C74&gt;0,E74/C74,IF(E74&gt;0,1,0)))</f>
        <v>0.022445858011779417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1178439</v>
      </c>
      <c r="C76" s="29">
        <v>1178439</v>
      </c>
      <c r="D76" s="29">
        <v>1204890.0744695433</v>
      </c>
      <c r="E76" s="38">
        <f t="shared" si="6"/>
        <v>26451.074469543295</v>
      </c>
      <c r="F76" s="34">
        <f t="shared" si="7"/>
        <v>0.022445858011779393</v>
      </c>
    </row>
    <row r="77" spans="1:6" s="102" customFormat="1" ht="26.25">
      <c r="A77" s="59" t="s">
        <v>72</v>
      </c>
      <c r="B77" s="61">
        <v>3984246</v>
      </c>
      <c r="C77" s="61">
        <v>3984246</v>
      </c>
      <c r="D77" s="61">
        <v>4073675.8200000003</v>
      </c>
      <c r="E77" s="44">
        <f t="shared" si="6"/>
        <v>89429.8200000003</v>
      </c>
      <c r="F77" s="45">
        <f t="shared" si="7"/>
        <v>0.02244585801177947</v>
      </c>
    </row>
    <row r="78" spans="1:6" s="100" customFormat="1" ht="26.25">
      <c r="A78" s="39" t="s">
        <v>73</v>
      </c>
      <c r="B78" s="36">
        <v>0</v>
      </c>
      <c r="C78" s="36">
        <v>0</v>
      </c>
      <c r="D78" s="36">
        <v>0</v>
      </c>
      <c r="E78" s="38">
        <f t="shared" si="6"/>
        <v>0</v>
      </c>
      <c r="F78" s="34">
        <f t="shared" si="7"/>
        <v>0</v>
      </c>
    </row>
    <row r="79" spans="1:6" s="100" customFormat="1" ht="26.25">
      <c r="A79" s="39" t="s">
        <v>74</v>
      </c>
      <c r="B79" s="33">
        <v>0</v>
      </c>
      <c r="C79" s="33">
        <v>0</v>
      </c>
      <c r="D79" s="33">
        <v>0</v>
      </c>
      <c r="E79" s="38">
        <f t="shared" si="6"/>
        <v>0</v>
      </c>
      <c r="F79" s="34">
        <f t="shared" si="7"/>
        <v>0</v>
      </c>
    </row>
    <row r="80" spans="1:6" s="100" customFormat="1" ht="26.25">
      <c r="A80" s="39" t="s">
        <v>75</v>
      </c>
      <c r="B80" s="29">
        <v>0</v>
      </c>
      <c r="C80" s="29">
        <v>0</v>
      </c>
      <c r="D80" s="29">
        <v>0</v>
      </c>
      <c r="E80" s="38">
        <f t="shared" si="6"/>
        <v>0</v>
      </c>
      <c r="F80" s="34">
        <f t="shared" si="7"/>
        <v>0</v>
      </c>
    </row>
    <row r="81" spans="1:6" s="102" customFormat="1" ht="26.25">
      <c r="A81" s="42" t="s">
        <v>76</v>
      </c>
      <c r="B81" s="61">
        <v>0</v>
      </c>
      <c r="C81" s="61">
        <v>0</v>
      </c>
      <c r="D81" s="61">
        <v>0</v>
      </c>
      <c r="E81" s="44">
        <f t="shared" si="6"/>
        <v>0</v>
      </c>
      <c r="F81" s="45">
        <f t="shared" si="7"/>
        <v>0</v>
      </c>
    </row>
    <row r="82" spans="1:6" s="100" customFormat="1" ht="26.25">
      <c r="A82" s="39" t="s">
        <v>77</v>
      </c>
      <c r="B82" s="29">
        <v>0</v>
      </c>
      <c r="C82" s="29">
        <v>0</v>
      </c>
      <c r="D82" s="29">
        <v>0</v>
      </c>
      <c r="E82" s="38">
        <f t="shared" si="6"/>
        <v>0</v>
      </c>
      <c r="F82" s="34">
        <f t="shared" si="7"/>
        <v>0</v>
      </c>
    </row>
    <row r="83" spans="1:6" s="100" customFormat="1" ht="26.25">
      <c r="A83" s="39" t="s">
        <v>78</v>
      </c>
      <c r="B83" s="38">
        <v>12444258.18</v>
      </c>
      <c r="C83" s="38">
        <v>12444258.18</v>
      </c>
      <c r="D83" s="38">
        <v>12444258.18</v>
      </c>
      <c r="E83" s="38">
        <f t="shared" si="6"/>
        <v>0</v>
      </c>
      <c r="F83" s="34">
        <f t="shared" si="7"/>
        <v>0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561689.7</v>
      </c>
      <c r="C85" s="38">
        <v>561689.7</v>
      </c>
      <c r="D85" s="38">
        <v>581229</v>
      </c>
      <c r="E85" s="38">
        <f t="shared" si="6"/>
        <v>19539.300000000047</v>
      </c>
      <c r="F85" s="34">
        <f t="shared" si="7"/>
        <v>0.03478664465451307</v>
      </c>
    </row>
    <row r="86" spans="1:6" s="102" customFormat="1" ht="26.25">
      <c r="A86" s="42" t="s">
        <v>81</v>
      </c>
      <c r="B86" s="44">
        <v>13005947.879999999</v>
      </c>
      <c r="C86" s="44">
        <v>13005947.879999999</v>
      </c>
      <c r="D86" s="44">
        <v>13025487.18</v>
      </c>
      <c r="E86" s="44">
        <f t="shared" si="6"/>
        <v>19539.300000000745</v>
      </c>
      <c r="F86" s="45">
        <f t="shared" si="7"/>
        <v>0.001502335714419359</v>
      </c>
    </row>
    <row r="87" spans="1:6" s="100" customFormat="1" ht="26.25">
      <c r="A87" s="39" t="s">
        <v>82</v>
      </c>
      <c r="B87" s="38">
        <v>0</v>
      </c>
      <c r="C87" s="38">
        <v>0</v>
      </c>
      <c r="D87" s="38">
        <v>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0</v>
      </c>
      <c r="C90" s="61">
        <v>0</v>
      </c>
      <c r="D90" s="61">
        <v>0</v>
      </c>
      <c r="E90" s="61">
        <f t="shared" si="6"/>
        <v>0</v>
      </c>
      <c r="F90" s="45">
        <f t="shared" si="7"/>
        <v>0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16990193.88</v>
      </c>
      <c r="C92" s="64">
        <v>16990193.88</v>
      </c>
      <c r="D92" s="64">
        <v>17099163</v>
      </c>
      <c r="E92" s="64">
        <f t="shared" si="6"/>
        <v>108969.12000000104</v>
      </c>
      <c r="F92" s="65">
        <f t="shared" si="7"/>
        <v>0.006413647823540967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157.140625" style="2" customWidth="1"/>
    <col min="2" max="2" width="32.7109375" style="5" customWidth="1"/>
    <col min="3" max="5" width="32.8515625" style="5" customWidth="1"/>
    <col min="6" max="6" width="25.57421875" style="6" customWidth="1"/>
    <col min="7" max="7" width="30.28125" style="2" customWidth="1"/>
    <col min="8" max="8" width="25.140625" style="2" customWidth="1"/>
    <col min="9" max="16384" width="9.140625" style="2" customWidth="1"/>
  </cols>
  <sheetData>
    <row r="1" spans="1:5" s="3" customFormat="1" ht="46.5">
      <c r="A1" s="7" t="s">
        <v>0</v>
      </c>
      <c r="B1" s="10" t="s">
        <v>1</v>
      </c>
      <c r="C1" s="1" t="s">
        <v>95</v>
      </c>
      <c r="D1" s="11"/>
      <c r="E1" s="9"/>
    </row>
    <row r="2" spans="1:5" s="3" customFormat="1" ht="46.5">
      <c r="A2" s="7" t="s">
        <v>2</v>
      </c>
      <c r="B2" s="8"/>
      <c r="C2" s="12"/>
      <c r="D2" s="9"/>
      <c r="E2" s="9"/>
    </row>
    <row r="3" spans="1:5" s="3" customFormat="1" ht="47.25" thickBot="1">
      <c r="A3" s="13" t="s">
        <v>3</v>
      </c>
      <c r="B3" s="14"/>
      <c r="C3" s="15"/>
      <c r="D3" s="9"/>
      <c r="E3" s="9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24" customFormat="1" ht="26.25">
      <c r="A6" s="28" t="s">
        <v>10</v>
      </c>
      <c r="B6" s="29"/>
      <c r="C6" s="29"/>
      <c r="D6" s="29"/>
      <c r="E6" s="29"/>
      <c r="F6" s="30"/>
    </row>
    <row r="7" spans="1:6" s="24" customFormat="1" ht="26.25">
      <c r="A7" s="28" t="s">
        <v>11</v>
      </c>
      <c r="B7" s="29"/>
      <c r="C7" s="29"/>
      <c r="D7" s="29"/>
      <c r="E7" s="29"/>
      <c r="F7" s="31"/>
    </row>
    <row r="8" spans="1:6" s="24" customFormat="1" ht="26.25">
      <c r="A8" s="32" t="s">
        <v>12</v>
      </c>
      <c r="B8" s="33">
        <f>2Year!B8+4Year!B8</f>
        <v>475466424.38</v>
      </c>
      <c r="C8" s="33">
        <f>2Year!C8+4Year!C8</f>
        <v>475466424</v>
      </c>
      <c r="D8" s="33">
        <f>2Year!D8+4Year!D8</f>
        <v>485194828</v>
      </c>
      <c r="E8" s="33">
        <f aca="true" t="shared" si="0" ref="E8:E29">D8-C8</f>
        <v>9728404</v>
      </c>
      <c r="F8" s="34">
        <f aca="true" t="shared" si="1" ref="F8:F29">IF(ISBLANK(E8),"  ",IF(C8&gt;0,E8/C8,IF(E8&gt;0,1,0)))</f>
        <v>0.02046075918075763</v>
      </c>
    </row>
    <row r="9" spans="1:6" s="24" customFormat="1" ht="26.25">
      <c r="A9" s="32" t="s">
        <v>13</v>
      </c>
      <c r="B9" s="33">
        <f>2Year!B9+4Year!B9</f>
        <v>0</v>
      </c>
      <c r="C9" s="33">
        <f>2Year!C9+4Year!C9</f>
        <v>0</v>
      </c>
      <c r="D9" s="33">
        <f>2Year!D9+4Year!D9</f>
        <v>0</v>
      </c>
      <c r="E9" s="33">
        <f t="shared" si="0"/>
        <v>0</v>
      </c>
      <c r="F9" s="34">
        <f t="shared" si="1"/>
        <v>0</v>
      </c>
    </row>
    <row r="10" spans="1:6" s="24" customFormat="1" ht="26.25">
      <c r="A10" s="35" t="s">
        <v>14</v>
      </c>
      <c r="B10" s="33">
        <f>2Year!B10+4Year!B10</f>
        <v>37486949.78</v>
      </c>
      <c r="C10" s="33">
        <f>2Year!C10+4Year!C10</f>
        <v>42345185.18</v>
      </c>
      <c r="D10" s="33">
        <f>2Year!D10+4Year!D10</f>
        <v>40911472</v>
      </c>
      <c r="E10" s="33">
        <f t="shared" si="0"/>
        <v>-1433713.1799999997</v>
      </c>
      <c r="F10" s="34">
        <f t="shared" si="1"/>
        <v>-0.03385776148824483</v>
      </c>
    </row>
    <row r="11" spans="1:6" s="24" customFormat="1" ht="26.25">
      <c r="A11" s="37" t="s">
        <v>15</v>
      </c>
      <c r="B11" s="33">
        <f>2Year!B11+4Year!B11</f>
        <v>0</v>
      </c>
      <c r="C11" s="33">
        <f>2Year!C11+4Year!C11</f>
        <v>0</v>
      </c>
      <c r="D11" s="33">
        <f>2Year!D11+4Year!D11</f>
        <v>0</v>
      </c>
      <c r="E11" s="33">
        <f t="shared" si="0"/>
        <v>0</v>
      </c>
      <c r="F11" s="34">
        <f t="shared" si="1"/>
        <v>0</v>
      </c>
    </row>
    <row r="12" spans="1:6" s="24" customFormat="1" ht="26.25">
      <c r="A12" s="39" t="s">
        <v>16</v>
      </c>
      <c r="B12" s="33">
        <f>2Year!B12+4Year!B12</f>
        <v>30634221.03</v>
      </c>
      <c r="C12" s="33">
        <f>2Year!C12+4Year!C12</f>
        <v>35344536.18</v>
      </c>
      <c r="D12" s="33">
        <f>2Year!D12+4Year!D12</f>
        <v>34278708</v>
      </c>
      <c r="E12" s="33">
        <f t="shared" si="0"/>
        <v>-1065828.1799999997</v>
      </c>
      <c r="F12" s="34">
        <f t="shared" si="1"/>
        <v>-0.030155387372238527</v>
      </c>
    </row>
    <row r="13" spans="1:6" s="24" customFormat="1" ht="26.25">
      <c r="A13" s="39" t="s">
        <v>17</v>
      </c>
      <c r="B13" s="33">
        <f>2Year!B13+4Year!B13</f>
        <v>0</v>
      </c>
      <c r="C13" s="33">
        <f>2Year!C13+4Year!C13</f>
        <v>0</v>
      </c>
      <c r="D13" s="33">
        <f>2Year!D13+4Year!D13</f>
        <v>0</v>
      </c>
      <c r="E13" s="33">
        <f t="shared" si="0"/>
        <v>0</v>
      </c>
      <c r="F13" s="34">
        <f t="shared" si="1"/>
        <v>0</v>
      </c>
    </row>
    <row r="14" spans="1:6" s="24" customFormat="1" ht="26.25">
      <c r="A14" s="39" t="s">
        <v>18</v>
      </c>
      <c r="B14" s="33">
        <f>2Year!B14+4Year!B14</f>
        <v>529646</v>
      </c>
      <c r="C14" s="33">
        <f>2Year!C14+4Year!C14</f>
        <v>529646</v>
      </c>
      <c r="D14" s="33">
        <f>2Year!D14+4Year!D14</f>
        <v>523243</v>
      </c>
      <c r="E14" s="33">
        <f t="shared" si="0"/>
        <v>-6403</v>
      </c>
      <c r="F14" s="34">
        <f t="shared" si="1"/>
        <v>-0.012089206753189866</v>
      </c>
    </row>
    <row r="15" spans="1:6" s="24" customFormat="1" ht="26.25">
      <c r="A15" s="39" t="s">
        <v>19</v>
      </c>
      <c r="B15" s="33">
        <f>2Year!B15+4Year!B15</f>
        <v>1741103</v>
      </c>
      <c r="C15" s="33">
        <f>2Year!C15+4Year!C15</f>
        <v>1741103</v>
      </c>
      <c r="D15" s="33">
        <f>2Year!D15+4Year!D15</f>
        <v>1430889</v>
      </c>
      <c r="E15" s="33">
        <f t="shared" si="0"/>
        <v>-310214</v>
      </c>
      <c r="F15" s="34">
        <f t="shared" si="1"/>
        <v>-0.17817096403831365</v>
      </c>
    </row>
    <row r="16" spans="1:6" s="24" customFormat="1" ht="26.25">
      <c r="A16" s="39" t="s">
        <v>20</v>
      </c>
      <c r="B16" s="33">
        <f>2Year!B16+4Year!B16</f>
        <v>50000</v>
      </c>
      <c r="C16" s="33">
        <f>2Year!C16+4Year!C16</f>
        <v>50000</v>
      </c>
      <c r="D16" s="33">
        <f>2Year!D16+4Year!D16</f>
        <v>50000</v>
      </c>
      <c r="E16" s="33">
        <f t="shared" si="0"/>
        <v>0</v>
      </c>
      <c r="F16" s="34">
        <f t="shared" si="1"/>
        <v>0</v>
      </c>
    </row>
    <row r="17" spans="1:6" s="24" customFormat="1" ht="26.25">
      <c r="A17" s="39" t="s">
        <v>21</v>
      </c>
      <c r="B17" s="33">
        <f>2Year!B17+4Year!B17</f>
        <v>0</v>
      </c>
      <c r="C17" s="33">
        <f>2Year!C17+4Year!C17</f>
        <v>0</v>
      </c>
      <c r="D17" s="33">
        <f>2Year!D17+4Year!D17</f>
        <v>0</v>
      </c>
      <c r="E17" s="33">
        <f t="shared" si="0"/>
        <v>0</v>
      </c>
      <c r="F17" s="34">
        <f t="shared" si="1"/>
        <v>0</v>
      </c>
    </row>
    <row r="18" spans="1:6" s="24" customFormat="1" ht="26.25">
      <c r="A18" s="39" t="s">
        <v>22</v>
      </c>
      <c r="B18" s="33">
        <f>2Year!B18+4Year!B18</f>
        <v>750000</v>
      </c>
      <c r="C18" s="33">
        <f>2Year!C18+4Year!C18</f>
        <v>750000</v>
      </c>
      <c r="D18" s="33">
        <f>2Year!D18+4Year!D18</f>
        <v>750000</v>
      </c>
      <c r="E18" s="33">
        <f t="shared" si="0"/>
        <v>0</v>
      </c>
      <c r="F18" s="34">
        <f t="shared" si="1"/>
        <v>0</v>
      </c>
    </row>
    <row r="19" spans="1:6" s="24" customFormat="1" ht="26.25">
      <c r="A19" s="39" t="s">
        <v>23</v>
      </c>
      <c r="B19" s="33">
        <f>2Year!B19+4Year!B19</f>
        <v>3252079.75</v>
      </c>
      <c r="C19" s="33">
        <f>2Year!C19+4Year!C19</f>
        <v>3400000</v>
      </c>
      <c r="D19" s="33">
        <f>2Year!D19+4Year!D19</f>
        <v>3370352</v>
      </c>
      <c r="E19" s="33">
        <f t="shared" si="0"/>
        <v>-29648</v>
      </c>
      <c r="F19" s="34">
        <f t="shared" si="1"/>
        <v>-0.00872</v>
      </c>
    </row>
    <row r="20" spans="1:6" s="24" customFormat="1" ht="26.25">
      <c r="A20" s="39" t="s">
        <v>24</v>
      </c>
      <c r="B20" s="33">
        <f>2Year!B20+4Year!B20</f>
        <v>210000</v>
      </c>
      <c r="C20" s="33">
        <f>2Year!C20+4Year!C20</f>
        <v>210000</v>
      </c>
      <c r="D20" s="33">
        <f>2Year!D20+4Year!D20</f>
        <v>210000</v>
      </c>
      <c r="E20" s="33">
        <f t="shared" si="0"/>
        <v>0</v>
      </c>
      <c r="F20" s="34">
        <f t="shared" si="1"/>
        <v>0</v>
      </c>
    </row>
    <row r="21" spans="1:6" s="24" customFormat="1" ht="26.25">
      <c r="A21" s="39" t="s">
        <v>25</v>
      </c>
      <c r="B21" s="33">
        <f>2Year!B21+4Year!B21</f>
        <v>0</v>
      </c>
      <c r="C21" s="33">
        <f>2Year!C21+4Year!C21</f>
        <v>0</v>
      </c>
      <c r="D21" s="33">
        <f>2Year!D21+4Year!D21</f>
        <v>0</v>
      </c>
      <c r="E21" s="33">
        <f t="shared" si="0"/>
        <v>0</v>
      </c>
      <c r="F21" s="34">
        <f t="shared" si="1"/>
        <v>0</v>
      </c>
    </row>
    <row r="22" spans="1:6" s="24" customFormat="1" ht="26.25">
      <c r="A22" s="39" t="s">
        <v>26</v>
      </c>
      <c r="B22" s="33">
        <f>2Year!B22+4Year!B22</f>
        <v>0</v>
      </c>
      <c r="C22" s="33">
        <f>2Year!C22+4Year!C22</f>
        <v>0</v>
      </c>
      <c r="D22" s="33">
        <f>2Year!D22+4Year!D22</f>
        <v>0</v>
      </c>
      <c r="E22" s="33">
        <f t="shared" si="0"/>
        <v>0</v>
      </c>
      <c r="F22" s="34">
        <f t="shared" si="1"/>
        <v>0</v>
      </c>
    </row>
    <row r="23" spans="1:6" s="24" customFormat="1" ht="26.25">
      <c r="A23" s="40" t="s">
        <v>27</v>
      </c>
      <c r="B23" s="33">
        <f>2Year!B23+4Year!B23</f>
        <v>0</v>
      </c>
      <c r="C23" s="33">
        <f>2Year!C23+4Year!C23</f>
        <v>0</v>
      </c>
      <c r="D23" s="33">
        <f>2Year!D23+4Year!D23</f>
        <v>0</v>
      </c>
      <c r="E23" s="33">
        <f t="shared" si="0"/>
        <v>0</v>
      </c>
      <c r="F23" s="34">
        <f t="shared" si="1"/>
        <v>0</v>
      </c>
    </row>
    <row r="24" spans="1:6" s="24" customFormat="1" ht="26.25">
      <c r="A24" s="40" t="s">
        <v>28</v>
      </c>
      <c r="B24" s="33">
        <f>2Year!B24+4Year!B24</f>
        <v>0</v>
      </c>
      <c r="C24" s="33">
        <f>2Year!C24+4Year!C24</f>
        <v>0</v>
      </c>
      <c r="D24" s="33">
        <f>2Year!D24+4Year!D24</f>
        <v>0</v>
      </c>
      <c r="E24" s="33">
        <f t="shared" si="0"/>
        <v>0</v>
      </c>
      <c r="F24" s="34">
        <f t="shared" si="1"/>
        <v>0</v>
      </c>
    </row>
    <row r="25" spans="1:6" s="24" customFormat="1" ht="26.25">
      <c r="A25" s="40" t="s">
        <v>29</v>
      </c>
      <c r="B25" s="33">
        <f>2Year!B25+4Year!B25</f>
        <v>0</v>
      </c>
      <c r="C25" s="33">
        <f>2Year!C25+4Year!C25</f>
        <v>0</v>
      </c>
      <c r="D25" s="33">
        <f>2Year!D25+4Year!D25</f>
        <v>0</v>
      </c>
      <c r="E25" s="33">
        <f t="shared" si="0"/>
        <v>0</v>
      </c>
      <c r="F25" s="34">
        <f t="shared" si="1"/>
        <v>0</v>
      </c>
    </row>
    <row r="26" spans="1:6" s="24" customFormat="1" ht="26.25">
      <c r="A26" s="40" t="s">
        <v>30</v>
      </c>
      <c r="B26" s="33">
        <f>2Year!B26+4Year!B26</f>
        <v>319900</v>
      </c>
      <c r="C26" s="33">
        <f>2Year!C26+4Year!C26</f>
        <v>319900</v>
      </c>
      <c r="D26" s="33">
        <f>2Year!D26+4Year!D26</f>
        <v>298280</v>
      </c>
      <c r="E26" s="33">
        <f t="shared" si="0"/>
        <v>-21620</v>
      </c>
      <c r="F26" s="34">
        <f t="shared" si="1"/>
        <v>-0.06758361988121288</v>
      </c>
    </row>
    <row r="27" spans="1:6" s="24" customFormat="1" ht="26.25">
      <c r="A27" s="40" t="s">
        <v>31</v>
      </c>
      <c r="B27" s="33">
        <f>2Year!B27+4Year!B27</f>
        <v>0</v>
      </c>
      <c r="C27" s="33">
        <f>2Year!C27+4Year!C27</f>
        <v>0</v>
      </c>
      <c r="D27" s="33">
        <f>2Year!D27+4Year!D27</f>
        <v>0</v>
      </c>
      <c r="E27" s="33">
        <f t="shared" si="0"/>
        <v>0</v>
      </c>
      <c r="F27" s="34">
        <f t="shared" si="1"/>
        <v>0</v>
      </c>
    </row>
    <row r="28" spans="1:6" s="24" customFormat="1" ht="26.25">
      <c r="A28" s="40" t="s">
        <v>87</v>
      </c>
      <c r="B28" s="33">
        <f>2Year!B28+4Year!B28</f>
        <v>0</v>
      </c>
      <c r="C28" s="33">
        <f>2Year!C28+4Year!C28</f>
        <v>0</v>
      </c>
      <c r="D28" s="33">
        <f>2Year!D28+4Year!D28</f>
        <v>0</v>
      </c>
      <c r="E28" s="33">
        <f t="shared" si="0"/>
        <v>0</v>
      </c>
      <c r="F28" s="34">
        <f t="shared" si="1"/>
        <v>0</v>
      </c>
    </row>
    <row r="29" spans="1:6" s="24" customFormat="1" ht="26.25">
      <c r="A29" s="40" t="s">
        <v>32</v>
      </c>
      <c r="B29" s="33">
        <f>2Year!B29+4Year!B29</f>
        <v>0</v>
      </c>
      <c r="C29" s="33">
        <f>2Year!C29+4Year!C29</f>
        <v>0</v>
      </c>
      <c r="D29" s="33">
        <f>2Year!D29+4Year!D29</f>
        <v>0</v>
      </c>
      <c r="E29" s="33">
        <f t="shared" si="0"/>
        <v>0</v>
      </c>
      <c r="F29" s="34">
        <f t="shared" si="1"/>
        <v>0</v>
      </c>
    </row>
    <row r="30" spans="1:6" s="24" customFormat="1" ht="26.25">
      <c r="A30" s="41" t="s">
        <v>33</v>
      </c>
      <c r="B30" s="38"/>
      <c r="C30" s="38"/>
      <c r="D30" s="38"/>
      <c r="E30" s="38"/>
      <c r="F30" s="30"/>
    </row>
    <row r="31" spans="1:6" s="24" customFormat="1" ht="26.25">
      <c r="A31" s="37" t="s">
        <v>34</v>
      </c>
      <c r="B31" s="33">
        <f>2Year!B31+4Year!B31</f>
        <v>0</v>
      </c>
      <c r="C31" s="33">
        <f>2Year!C31+4Year!C31</f>
        <v>0</v>
      </c>
      <c r="D31" s="33">
        <f>2Year!D31+4Year!D31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24" customFormat="1" ht="26.25">
      <c r="A32" s="42" t="s">
        <v>35</v>
      </c>
      <c r="B32" s="38"/>
      <c r="C32" s="38"/>
      <c r="D32" s="38"/>
      <c r="E32" s="38"/>
      <c r="F32" s="30"/>
    </row>
    <row r="33" spans="1:6" s="24" customFormat="1" ht="26.25">
      <c r="A33" s="37" t="s">
        <v>34</v>
      </c>
      <c r="B33" s="33">
        <f>2Year!B33+4Year!B33</f>
        <v>0</v>
      </c>
      <c r="C33" s="33">
        <f>2Year!C33+4Year!C33</f>
        <v>0</v>
      </c>
      <c r="D33" s="33">
        <f>2Year!D33+4Year!D33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24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6" s="46" customFormat="1" ht="26.25">
      <c r="A35" s="43" t="s">
        <v>38</v>
      </c>
      <c r="B35" s="67">
        <f>B33+B31+B10+B9+B8</f>
        <v>512953374.15999997</v>
      </c>
      <c r="C35" s="67">
        <f>C33+C31+C10+C9+C8</f>
        <v>517811609.18</v>
      </c>
      <c r="D35" s="67">
        <f>D33+D31+D10+D9+D8</f>
        <v>526106300</v>
      </c>
      <c r="E35" s="52">
        <f>D35-C35</f>
        <v>8294690.819999993</v>
      </c>
      <c r="F35" s="45">
        <f>IF(ISBLANK(E35),"  ",IF(C35&gt;0,E35/C35,IF(E35&gt;0,1,0)))</f>
        <v>0.016018742478824222</v>
      </c>
    </row>
    <row r="36" spans="1:6" s="24" customFormat="1" ht="26.25">
      <c r="A36" s="41" t="s">
        <v>39</v>
      </c>
      <c r="B36" s="38"/>
      <c r="C36" s="38"/>
      <c r="D36" s="38"/>
      <c r="E36" s="38"/>
      <c r="F36" s="30"/>
    </row>
    <row r="37" spans="1:6" s="24" customFormat="1" ht="26.25">
      <c r="A37" s="47" t="s">
        <v>40</v>
      </c>
      <c r="B37" s="33">
        <f>2Year!B37+4Year!B37</f>
        <v>0</v>
      </c>
      <c r="C37" s="33">
        <f>2Year!C37+4Year!C37</f>
        <v>0</v>
      </c>
      <c r="D37" s="33">
        <f>2Year!D37+4Year!D37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24" customFormat="1" ht="26.25">
      <c r="A38" s="48" t="s">
        <v>41</v>
      </c>
      <c r="B38" s="33">
        <f>2Year!B38+4Year!B38</f>
        <v>0</v>
      </c>
      <c r="C38" s="33">
        <f>2Year!C38+4Year!C38</f>
        <v>0</v>
      </c>
      <c r="D38" s="33">
        <f>2Year!D38+4Year!D38</f>
        <v>0</v>
      </c>
      <c r="E38" s="33">
        <f t="shared" si="2"/>
        <v>0</v>
      </c>
      <c r="F38" s="34">
        <f t="shared" si="3"/>
        <v>0</v>
      </c>
    </row>
    <row r="39" spans="1:6" s="24" customFormat="1" ht="26.25">
      <c r="A39" s="48" t="s">
        <v>42</v>
      </c>
      <c r="B39" s="33">
        <f>2Year!B39+4Year!B39</f>
        <v>5157072.5600000005</v>
      </c>
      <c r="C39" s="33">
        <f>2Year!C39+4Year!C39</f>
        <v>0</v>
      </c>
      <c r="D39" s="33">
        <f>2Year!D39+4Year!D39</f>
        <v>0</v>
      </c>
      <c r="E39" s="33">
        <f t="shared" si="2"/>
        <v>0</v>
      </c>
      <c r="F39" s="34">
        <f t="shared" si="3"/>
        <v>0</v>
      </c>
    </row>
    <row r="40" spans="1:6" s="24" customFormat="1" ht="26.25">
      <c r="A40" s="48" t="s">
        <v>43</v>
      </c>
      <c r="B40" s="33">
        <f>2Year!B40+4Year!B40</f>
        <v>0</v>
      </c>
      <c r="C40" s="33">
        <f>2Year!C40+4Year!C40</f>
        <v>0</v>
      </c>
      <c r="D40" s="33">
        <f>2Year!D40+4Year!D40</f>
        <v>0</v>
      </c>
      <c r="E40" s="33">
        <f t="shared" si="2"/>
        <v>0</v>
      </c>
      <c r="F40" s="34">
        <f t="shared" si="3"/>
        <v>0</v>
      </c>
    </row>
    <row r="41" spans="1:6" s="24" customFormat="1" ht="26.25">
      <c r="A41" s="49" t="s">
        <v>44</v>
      </c>
      <c r="B41" s="33">
        <f>2Year!B41+4Year!B41</f>
        <v>0</v>
      </c>
      <c r="C41" s="33">
        <f>2Year!C41+4Year!C41</f>
        <v>0</v>
      </c>
      <c r="D41" s="33">
        <f>2Year!D41+4Year!D41</f>
        <v>0</v>
      </c>
      <c r="E41" s="33">
        <f t="shared" si="2"/>
        <v>0</v>
      </c>
      <c r="F41" s="34">
        <f t="shared" si="3"/>
        <v>0</v>
      </c>
    </row>
    <row r="42" spans="1:12" s="46" customFormat="1" ht="26.25">
      <c r="A42" s="41" t="s">
        <v>45</v>
      </c>
      <c r="B42" s="52">
        <f>SUM(B37:B41)</f>
        <v>5157072.5600000005</v>
      </c>
      <c r="C42" s="52">
        <f>2Year!C42+4Year!C42</f>
        <v>0</v>
      </c>
      <c r="D42" s="52">
        <f>2Year!D42+4Year!D42</f>
        <v>0</v>
      </c>
      <c r="E42" s="52">
        <f t="shared" si="2"/>
        <v>0</v>
      </c>
      <c r="F42" s="45">
        <f t="shared" si="3"/>
        <v>0</v>
      </c>
      <c r="L42" s="46" t="s">
        <v>46</v>
      </c>
    </row>
    <row r="43" spans="1:6" s="24" customFormat="1" ht="26.25">
      <c r="A43" s="39" t="s">
        <v>46</v>
      </c>
      <c r="B43" s="38"/>
      <c r="C43" s="38"/>
      <c r="D43" s="38"/>
      <c r="E43" s="38"/>
      <c r="F43" s="30"/>
    </row>
    <row r="44" spans="1:6" s="46" customFormat="1" ht="26.25">
      <c r="A44" s="51" t="s">
        <v>47</v>
      </c>
      <c r="B44" s="52">
        <f>2Year!B44+4Year!B44</f>
        <v>11435768</v>
      </c>
      <c r="C44" s="52">
        <f>2Year!C44+4Year!C44</f>
        <v>11425750</v>
      </c>
      <c r="D44" s="52">
        <f>2Year!D44+4Year!D44</f>
        <v>11009603</v>
      </c>
      <c r="E44" s="52">
        <f>D44-C44</f>
        <v>-416147</v>
      </c>
      <c r="F44" s="45">
        <f>IF(ISBLANK(E44),"  ",IF(C44&gt;0,E44/C44,IF(E44&gt;0,1,0)))</f>
        <v>-0.03642185414524211</v>
      </c>
    </row>
    <row r="45" spans="1:6" s="24" customFormat="1" ht="26.25">
      <c r="A45" s="39" t="s">
        <v>46</v>
      </c>
      <c r="B45" s="38"/>
      <c r="C45" s="38"/>
      <c r="D45" s="38"/>
      <c r="E45" s="38"/>
      <c r="F45" s="30"/>
    </row>
    <row r="46" spans="1:6" s="46" customFormat="1" ht="26.25">
      <c r="A46" s="51" t="s">
        <v>48</v>
      </c>
      <c r="B46" s="52">
        <f>2Year!B46+4Year!B46</f>
        <v>0</v>
      </c>
      <c r="C46" s="52">
        <f>2Year!C46+4Year!C46</f>
        <v>0</v>
      </c>
      <c r="D46" s="52">
        <f>2Year!D46+4Year!D46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24" customFormat="1" ht="26.25">
      <c r="A47" s="39" t="s">
        <v>46</v>
      </c>
      <c r="B47" s="38"/>
      <c r="C47" s="38"/>
      <c r="D47" s="38"/>
      <c r="E47" s="38"/>
      <c r="F47" s="30"/>
    </row>
    <row r="48" spans="1:6" s="46" customFormat="1" ht="26.25">
      <c r="A48" s="41" t="s">
        <v>49</v>
      </c>
      <c r="B48" s="52">
        <f>2Year!B48+4Year!B48</f>
        <v>1285379733.17</v>
      </c>
      <c r="C48" s="52">
        <f>2Year!C48+4Year!C48</f>
        <v>1319368386.5900002</v>
      </c>
      <c r="D48" s="52">
        <f>2Year!D48+4Year!D48</f>
        <v>1349249455.13</v>
      </c>
      <c r="E48" s="52">
        <f>D48-C48</f>
        <v>29881068.53999996</v>
      </c>
      <c r="F48" s="45">
        <f>IF(ISBLANK(E48),"  ",IF(C48&gt;0,E48/C48,IF(E48&gt;0,1,0)))</f>
        <v>0.022648010096126128</v>
      </c>
    </row>
    <row r="49" spans="1:6" s="24" customFormat="1" ht="26.25">
      <c r="A49" s="39" t="s">
        <v>46</v>
      </c>
      <c r="B49" s="38"/>
      <c r="C49" s="38"/>
      <c r="D49" s="38"/>
      <c r="E49" s="38"/>
      <c r="F49" s="30"/>
    </row>
    <row r="50" spans="1:6" s="46" customFormat="1" ht="26.25">
      <c r="A50" s="53" t="s">
        <v>50</v>
      </c>
      <c r="B50" s="52">
        <f>2Year!B50+4Year!B50</f>
        <v>0</v>
      </c>
      <c r="C50" s="52">
        <f>2Year!C50+4Year!C50</f>
        <v>0</v>
      </c>
      <c r="D50" s="52">
        <f>2Year!D50+4Year!D50</f>
        <v>0</v>
      </c>
      <c r="E50" s="52">
        <f>D50-C50</f>
        <v>0</v>
      </c>
      <c r="F50" s="45">
        <f>IF(ISBLANK(E50),"  ",IF(C50&gt;0,E50/C50,IF(E50&gt;0,1,0)))</f>
        <v>0</v>
      </c>
    </row>
    <row r="51" spans="1:6" s="24" customFormat="1" ht="26.25">
      <c r="A51" s="41"/>
      <c r="B51" s="29"/>
      <c r="C51" s="29"/>
      <c r="D51" s="29"/>
      <c r="E51" s="29"/>
      <c r="F51" s="55"/>
    </row>
    <row r="52" spans="1:6" s="46" customFormat="1" ht="26.25">
      <c r="A52" s="41" t="s">
        <v>51</v>
      </c>
      <c r="B52" s="52">
        <f>2Year!B52+4Year!B52</f>
        <v>0</v>
      </c>
      <c r="C52" s="52">
        <f>2Year!C52+4Year!C52</f>
        <v>0</v>
      </c>
      <c r="D52" s="52">
        <f>2Year!D52+4Year!D52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24" customFormat="1" ht="26.25">
      <c r="A53" s="39"/>
      <c r="B53" s="38"/>
      <c r="C53" s="38"/>
      <c r="D53" s="38"/>
      <c r="E53" s="38"/>
      <c r="F53" s="30"/>
    </row>
    <row r="54" spans="1:6" s="46" customFormat="1" ht="26.25">
      <c r="A54" s="56" t="s">
        <v>52</v>
      </c>
      <c r="B54" s="52">
        <f>2Year!B54+4Year!B54</f>
        <v>1804611801.77</v>
      </c>
      <c r="C54" s="52">
        <f>2Year!C54+4Year!C54</f>
        <v>1848605745.77</v>
      </c>
      <c r="D54" s="52">
        <f>2Year!D54+4Year!D54</f>
        <v>1886365358.13</v>
      </c>
      <c r="E54" s="52">
        <f>D54-C54</f>
        <v>37759612.36000013</v>
      </c>
      <c r="F54" s="45">
        <f>IF(ISBLANK(E54),"  ",IF(C54&gt;0,E54/C54,IF(E54&gt;0,1,0)))</f>
        <v>0.020425995346169453</v>
      </c>
    </row>
    <row r="55" spans="1:6" s="24" customFormat="1" ht="26.25">
      <c r="A55" s="57"/>
      <c r="B55" s="38"/>
      <c r="C55" s="38"/>
      <c r="D55" s="38"/>
      <c r="E55" s="38"/>
      <c r="F55" s="30" t="s">
        <v>46</v>
      </c>
    </row>
    <row r="56" spans="1:6" s="24" customFormat="1" ht="26.25">
      <c r="A56" s="58"/>
      <c r="B56" s="29"/>
      <c r="C56" s="29"/>
      <c r="D56" s="29"/>
      <c r="E56" s="29"/>
      <c r="F56" s="31" t="s">
        <v>46</v>
      </c>
    </row>
    <row r="57" spans="1:6" s="24" customFormat="1" ht="26.25">
      <c r="A57" s="56" t="s">
        <v>53</v>
      </c>
      <c r="B57" s="29"/>
      <c r="C57" s="29"/>
      <c r="D57" s="29"/>
      <c r="E57" s="29"/>
      <c r="F57" s="31"/>
    </row>
    <row r="58" spans="1:6" s="24" customFormat="1" ht="26.25">
      <c r="A58" s="37" t="s">
        <v>54</v>
      </c>
      <c r="B58" s="33">
        <f>2Year!B58+4Year!B58</f>
        <v>750085482.69</v>
      </c>
      <c r="C58" s="33">
        <f>2Year!C58+4Year!C58</f>
        <v>774605841.7798939</v>
      </c>
      <c r="D58" s="33">
        <f>2Year!D58+4Year!D58</f>
        <v>795170794.8998939</v>
      </c>
      <c r="E58" s="33">
        <f aca="true" t="shared" si="4" ref="E58:E71">D58-C58</f>
        <v>20564953.120000005</v>
      </c>
      <c r="F58" s="34">
        <f aca="true" t="shared" si="5" ref="F58:F71">IF(ISBLANK(E58),"  ",IF(C58&gt;0,E58/C58,IF(E58&gt;0,1,0)))</f>
        <v>0.026548925932117596</v>
      </c>
    </row>
    <row r="59" spans="1:6" s="24" customFormat="1" ht="26.25">
      <c r="A59" s="39" t="s">
        <v>55</v>
      </c>
      <c r="B59" s="33">
        <f>2Year!B59+4Year!B59</f>
        <v>91845350.55999999</v>
      </c>
      <c r="C59" s="33">
        <f>2Year!C59+4Year!C59</f>
        <v>95880295</v>
      </c>
      <c r="D59" s="33">
        <f>2Year!D59+4Year!D59</f>
        <v>94990225</v>
      </c>
      <c r="E59" s="33">
        <f t="shared" si="4"/>
        <v>-890070</v>
      </c>
      <c r="F59" s="34">
        <f t="shared" si="5"/>
        <v>-0.009283137896060917</v>
      </c>
    </row>
    <row r="60" spans="1:6" s="24" customFormat="1" ht="26.25">
      <c r="A60" s="39" t="s">
        <v>56</v>
      </c>
      <c r="B60" s="33">
        <f>2Year!B60+4Year!B60</f>
        <v>7724242.71</v>
      </c>
      <c r="C60" s="33">
        <f>2Year!C60+4Year!C60</f>
        <v>6329126</v>
      </c>
      <c r="D60" s="33">
        <f>2Year!D60+4Year!D60</f>
        <v>6441332</v>
      </c>
      <c r="E60" s="33">
        <f t="shared" si="4"/>
        <v>112206</v>
      </c>
      <c r="F60" s="34">
        <f t="shared" si="5"/>
        <v>0.017728514173994955</v>
      </c>
    </row>
    <row r="61" spans="1:6" s="24" customFormat="1" ht="26.25">
      <c r="A61" s="39" t="s">
        <v>57</v>
      </c>
      <c r="B61" s="33">
        <f>2Year!B61+4Year!B61</f>
        <v>179793930.36</v>
      </c>
      <c r="C61" s="33">
        <f>2Year!C61+4Year!C61</f>
        <v>183104792.26</v>
      </c>
      <c r="D61" s="33">
        <f>2Year!D61+4Year!D61</f>
        <v>193085629.84432083</v>
      </c>
      <c r="E61" s="33">
        <f t="shared" si="4"/>
        <v>9980837.584320843</v>
      </c>
      <c r="F61" s="34">
        <f t="shared" si="5"/>
        <v>0.05450888237894142</v>
      </c>
    </row>
    <row r="62" spans="1:6" s="24" customFormat="1" ht="26.25">
      <c r="A62" s="39" t="s">
        <v>58</v>
      </c>
      <c r="B62" s="33">
        <f>2Year!B62+4Year!B62</f>
        <v>91652860.13999999</v>
      </c>
      <c r="C62" s="33">
        <f>2Year!C62+4Year!C62</f>
        <v>95642997.35880561</v>
      </c>
      <c r="D62" s="33">
        <f>2Year!D62+4Year!D62</f>
        <v>98905165.36880562</v>
      </c>
      <c r="E62" s="33">
        <f t="shared" si="4"/>
        <v>3262168.0100000054</v>
      </c>
      <c r="F62" s="34">
        <f t="shared" si="5"/>
        <v>0.034107755926572975</v>
      </c>
    </row>
    <row r="63" spans="1:6" s="24" customFormat="1" ht="26.25">
      <c r="A63" s="39" t="s">
        <v>59</v>
      </c>
      <c r="B63" s="33">
        <f>2Year!B63+4Year!B63</f>
        <v>231363154.34000003</v>
      </c>
      <c r="C63" s="33">
        <f>2Year!C63+4Year!C63</f>
        <v>232410610.9855731</v>
      </c>
      <c r="D63" s="33">
        <f>2Year!D63+4Year!D63</f>
        <v>245157439.65186176</v>
      </c>
      <c r="E63" s="33">
        <f t="shared" si="4"/>
        <v>12746828.666288644</v>
      </c>
      <c r="F63" s="34">
        <f t="shared" si="5"/>
        <v>0.05484615617261943</v>
      </c>
    </row>
    <row r="64" spans="1:6" s="24" customFormat="1" ht="26.25">
      <c r="A64" s="39" t="s">
        <v>60</v>
      </c>
      <c r="B64" s="33">
        <f>2Year!B64+4Year!B64</f>
        <v>214123704.34</v>
      </c>
      <c r="C64" s="33">
        <f>2Year!C64+4Year!C64</f>
        <v>217012571.4</v>
      </c>
      <c r="D64" s="33">
        <f>2Year!D64+4Year!D64</f>
        <v>212393829</v>
      </c>
      <c r="E64" s="33">
        <f t="shared" si="4"/>
        <v>-4618742.400000006</v>
      </c>
      <c r="F64" s="34">
        <f t="shared" si="5"/>
        <v>-0.02128329418984068</v>
      </c>
    </row>
    <row r="65" spans="1:6" s="24" customFormat="1" ht="26.25">
      <c r="A65" s="39" t="s">
        <v>61</v>
      </c>
      <c r="B65" s="33">
        <f>2Year!B65+4Year!B65</f>
        <v>192130883.15</v>
      </c>
      <c r="C65" s="33">
        <f>2Year!C65+4Year!C65</f>
        <v>201411568.85805297</v>
      </c>
      <c r="D65" s="33">
        <f>2Year!D65+4Year!D65</f>
        <v>199662636.29805297</v>
      </c>
      <c r="E65" s="33">
        <f t="shared" si="4"/>
        <v>-1748932.5600000024</v>
      </c>
      <c r="F65" s="34">
        <f t="shared" si="5"/>
        <v>-0.008683376878080832</v>
      </c>
    </row>
    <row r="66" spans="1:6" s="46" customFormat="1" ht="26.25">
      <c r="A66" s="59" t="s">
        <v>62</v>
      </c>
      <c r="B66" s="52">
        <f>2Year!B66+4Year!B66</f>
        <v>1758719609.2900002</v>
      </c>
      <c r="C66" s="52">
        <f>2Year!C66+4Year!C66</f>
        <v>1806397803.6423256</v>
      </c>
      <c r="D66" s="52">
        <f>2Year!D66+4Year!D66</f>
        <v>1845807052.0629354</v>
      </c>
      <c r="E66" s="52">
        <f t="shared" si="4"/>
        <v>39409248.42060971</v>
      </c>
      <c r="F66" s="45">
        <f t="shared" si="5"/>
        <v>0.02181648380060415</v>
      </c>
    </row>
    <row r="67" spans="1:6" s="24" customFormat="1" ht="26.25">
      <c r="A67" s="39" t="s">
        <v>63</v>
      </c>
      <c r="B67" s="33">
        <f>2Year!B67+4Year!B67</f>
        <v>0</v>
      </c>
      <c r="C67" s="33">
        <f>2Year!C67+4Year!C67</f>
        <v>0</v>
      </c>
      <c r="D67" s="33">
        <f>2Year!D67+4Year!D67</f>
        <v>0</v>
      </c>
      <c r="E67" s="33">
        <f t="shared" si="4"/>
        <v>0</v>
      </c>
      <c r="F67" s="34">
        <f t="shared" si="5"/>
        <v>0</v>
      </c>
    </row>
    <row r="68" spans="1:6" s="24" customFormat="1" ht="26.25">
      <c r="A68" s="39" t="s">
        <v>64</v>
      </c>
      <c r="B68" s="33">
        <f>2Year!B68+4Year!B68</f>
        <v>13131242.19</v>
      </c>
      <c r="C68" s="33">
        <f>2Year!C68+4Year!C68</f>
        <v>12102059</v>
      </c>
      <c r="D68" s="33">
        <f>2Year!D68+4Year!D68</f>
        <v>12211305</v>
      </c>
      <c r="E68" s="33">
        <f t="shared" si="4"/>
        <v>109246</v>
      </c>
      <c r="F68" s="34">
        <f t="shared" si="5"/>
        <v>0.009027058949225087</v>
      </c>
    </row>
    <row r="69" spans="1:6" s="24" customFormat="1" ht="26.25">
      <c r="A69" s="39" t="s">
        <v>65</v>
      </c>
      <c r="B69" s="33">
        <f>2Year!B69+4Year!B69</f>
        <v>29510862.61</v>
      </c>
      <c r="C69" s="33">
        <f>2Year!C69+4Year!C69</f>
        <v>26770802</v>
      </c>
      <c r="D69" s="33">
        <f>2Year!D69+4Year!D69</f>
        <v>25696169</v>
      </c>
      <c r="E69" s="33">
        <f t="shared" si="4"/>
        <v>-1074633</v>
      </c>
      <c r="F69" s="34">
        <f t="shared" si="5"/>
        <v>-0.04014198005722802</v>
      </c>
    </row>
    <row r="70" spans="1:6" s="24" customFormat="1" ht="26.25">
      <c r="A70" s="39" t="s">
        <v>66</v>
      </c>
      <c r="B70" s="33">
        <f>2Year!B70+4Year!B70</f>
        <v>3250090.86</v>
      </c>
      <c r="C70" s="33">
        <f>2Year!C70+4Year!C70</f>
        <v>3335090</v>
      </c>
      <c r="D70" s="33">
        <f>2Year!D70+4Year!D70</f>
        <v>2650833</v>
      </c>
      <c r="E70" s="33">
        <f t="shared" si="4"/>
        <v>-684257</v>
      </c>
      <c r="F70" s="34">
        <f t="shared" si="5"/>
        <v>-0.2051689759496745</v>
      </c>
    </row>
    <row r="71" spans="1:6" s="46" customFormat="1" ht="26.25">
      <c r="A71" s="60" t="s">
        <v>67</v>
      </c>
      <c r="B71" s="52">
        <f>2Year!B71+4Year!B71+1</f>
        <v>1804611801.9499998</v>
      </c>
      <c r="C71" s="52">
        <f>2Year!C71+4Year!C71</f>
        <v>1848605745.6423256</v>
      </c>
      <c r="D71" s="52">
        <f>2Year!D71+4Year!D71-1</f>
        <v>1886365358.0629354</v>
      </c>
      <c r="E71" s="52">
        <f t="shared" si="4"/>
        <v>37759612.42060971</v>
      </c>
      <c r="F71" s="45">
        <f t="shared" si="5"/>
        <v>0.020425995380366824</v>
      </c>
    </row>
    <row r="72" spans="1:6" s="24" customFormat="1" ht="26.25">
      <c r="A72" s="58"/>
      <c r="B72" s="29"/>
      <c r="C72" s="29"/>
      <c r="D72" s="29"/>
      <c r="E72" s="29"/>
      <c r="F72" s="31"/>
    </row>
    <row r="73" spans="1:6" s="24" customFormat="1" ht="26.25">
      <c r="A73" s="56" t="s">
        <v>68</v>
      </c>
      <c r="B73" s="29"/>
      <c r="C73" s="29"/>
      <c r="D73" s="29"/>
      <c r="E73" s="29"/>
      <c r="F73" s="31"/>
    </row>
    <row r="74" spans="1:6" s="24" customFormat="1" ht="26.25">
      <c r="A74" s="37" t="s">
        <v>69</v>
      </c>
      <c r="B74" s="33">
        <f>2Year!B74+4Year!B74</f>
        <v>863159107.14</v>
      </c>
      <c r="C74" s="33">
        <f>2Year!C74+4Year!C74</f>
        <v>903862759.4843099</v>
      </c>
      <c r="D74" s="33">
        <f>2Year!D74+4Year!D74</f>
        <v>926834193.59431</v>
      </c>
      <c r="E74" s="33">
        <f aca="true" t="shared" si="6" ref="E74:E92">D74-C74</f>
        <v>22971434.110000134</v>
      </c>
      <c r="F74" s="34">
        <f aca="true" t="shared" si="7" ref="F74:F92">IF(ISBLANK(E74),"  ",IF(C74&gt;0,E74/C74,IF(E74&gt;0,1,0)))</f>
        <v>0.02541473677166018</v>
      </c>
    </row>
    <row r="75" spans="1:6" s="24" customFormat="1" ht="26.25">
      <c r="A75" s="39" t="s">
        <v>70</v>
      </c>
      <c r="B75" s="33">
        <f>2Year!B75+4Year!B75</f>
        <v>47490858.059999995</v>
      </c>
      <c r="C75" s="33">
        <f>2Year!C75+4Year!C75</f>
        <v>44649675.73739674</v>
      </c>
      <c r="D75" s="33">
        <f>2Year!D75+4Year!D75</f>
        <v>45634569.73739674</v>
      </c>
      <c r="E75" s="33">
        <f t="shared" si="6"/>
        <v>984894</v>
      </c>
      <c r="F75" s="34">
        <f t="shared" si="7"/>
        <v>0.02205825649871614</v>
      </c>
    </row>
    <row r="76" spans="1:6" s="24" customFormat="1" ht="26.25">
      <c r="A76" s="39" t="s">
        <v>71</v>
      </c>
      <c r="B76" s="33">
        <f>2Year!B76+4Year!B76</f>
        <v>368315641.04999995</v>
      </c>
      <c r="C76" s="33">
        <f>2Year!C76+4Year!C76</f>
        <v>385520527.83146983</v>
      </c>
      <c r="D76" s="33">
        <f>2Year!D76+4Year!D76</f>
        <v>398117602.8820793</v>
      </c>
      <c r="E76" s="33">
        <f t="shared" si="6"/>
        <v>12597075.05060947</v>
      </c>
      <c r="F76" s="34">
        <f t="shared" si="7"/>
        <v>0.03267549751881507</v>
      </c>
    </row>
    <row r="77" spans="1:6" s="46" customFormat="1" ht="26.25">
      <c r="A77" s="59" t="s">
        <v>72</v>
      </c>
      <c r="B77" s="52">
        <f>2Year!B77+4Year!B77</f>
        <v>1278965604.64</v>
      </c>
      <c r="C77" s="52">
        <f>2Year!C77+4Year!C77</f>
        <v>1334032963.0531764</v>
      </c>
      <c r="D77" s="52">
        <f>2Year!D77+4Year!D77</f>
        <v>1370586366.2137861</v>
      </c>
      <c r="E77" s="52">
        <f t="shared" si="6"/>
        <v>36553403.16060972</v>
      </c>
      <c r="F77" s="45">
        <f t="shared" si="7"/>
        <v>0.027400674625723362</v>
      </c>
    </row>
    <row r="78" spans="1:6" s="24" customFormat="1" ht="26.25">
      <c r="A78" s="39" t="s">
        <v>73</v>
      </c>
      <c r="B78" s="33">
        <f>2Year!B78+4Year!B78</f>
        <v>8157292.38</v>
      </c>
      <c r="C78" s="33">
        <f>2Year!C78+4Year!C78</f>
        <v>8577308.06</v>
      </c>
      <c r="D78" s="33">
        <f>2Year!D78+4Year!D78</f>
        <v>8630086.45</v>
      </c>
      <c r="E78" s="33">
        <f t="shared" si="6"/>
        <v>52778.38999999873</v>
      </c>
      <c r="F78" s="34">
        <f t="shared" si="7"/>
        <v>0.006153258065444688</v>
      </c>
    </row>
    <row r="79" spans="1:6" s="24" customFormat="1" ht="26.25">
      <c r="A79" s="39" t="s">
        <v>74</v>
      </c>
      <c r="B79" s="33">
        <f>2Year!B79+4Year!B79</f>
        <v>138264636.65</v>
      </c>
      <c r="C79" s="33">
        <f>2Year!C79+4Year!C79</f>
        <v>147778103.6568435</v>
      </c>
      <c r="D79" s="33">
        <f>2Year!D79+4Year!D79</f>
        <v>158025904.27684352</v>
      </c>
      <c r="E79" s="33">
        <f t="shared" si="6"/>
        <v>10247800.620000005</v>
      </c>
      <c r="F79" s="34">
        <f t="shared" si="7"/>
        <v>0.0693458663118082</v>
      </c>
    </row>
    <row r="80" spans="1:6" s="24" customFormat="1" ht="26.25">
      <c r="A80" s="39" t="s">
        <v>75</v>
      </c>
      <c r="B80" s="33">
        <f>2Year!B80+4Year!B80</f>
        <v>39886139.83</v>
      </c>
      <c r="C80" s="33">
        <f>2Year!C80+4Year!C80</f>
        <v>34693546.75346098</v>
      </c>
      <c r="D80" s="33">
        <f>2Year!D80+4Year!D80</f>
        <v>34654536.093460985</v>
      </c>
      <c r="E80" s="33">
        <f t="shared" si="6"/>
        <v>-39010.659999996424</v>
      </c>
      <c r="F80" s="34">
        <f t="shared" si="7"/>
        <v>-0.001124435627098425</v>
      </c>
    </row>
    <row r="81" spans="1:6" s="46" customFormat="1" ht="26.25">
      <c r="A81" s="42" t="s">
        <v>76</v>
      </c>
      <c r="B81" s="52">
        <f>2Year!B81+4Year!B81</f>
        <v>186308069.92</v>
      </c>
      <c r="C81" s="52">
        <f>2Year!C81+4Year!C81</f>
        <v>191048958.4703045</v>
      </c>
      <c r="D81" s="52">
        <f>2Year!D81+4Year!D81</f>
        <v>201310526.8203045</v>
      </c>
      <c r="E81" s="52">
        <f t="shared" si="6"/>
        <v>10261568.350000024</v>
      </c>
      <c r="F81" s="45">
        <f t="shared" si="7"/>
        <v>0.05371172097541176</v>
      </c>
    </row>
    <row r="82" spans="1:6" s="24" customFormat="1" ht="26.25">
      <c r="A82" s="39" t="s">
        <v>77</v>
      </c>
      <c r="B82" s="33">
        <f>2Year!B82+4Year!B82</f>
        <v>27282788.8</v>
      </c>
      <c r="C82" s="33">
        <f>2Year!C82+4Year!C82</f>
        <v>15106448.67</v>
      </c>
      <c r="D82" s="33">
        <f>2Year!D82+4Year!D82</f>
        <v>19803077</v>
      </c>
      <c r="E82" s="33">
        <f t="shared" si="6"/>
        <v>4696628.33</v>
      </c>
      <c r="F82" s="34">
        <f t="shared" si="7"/>
        <v>0.3109022135246828</v>
      </c>
    </row>
    <row r="83" spans="1:6" s="24" customFormat="1" ht="26.25">
      <c r="A83" s="39" t="s">
        <v>78</v>
      </c>
      <c r="B83" s="33">
        <f>2Year!B83+4Year!B83</f>
        <v>263915674.32999998</v>
      </c>
      <c r="C83" s="33">
        <f>2Year!C83+4Year!C83</f>
        <v>265878769.2</v>
      </c>
      <c r="D83" s="33">
        <f>2Year!D83+4Year!D83</f>
        <v>260052092</v>
      </c>
      <c r="E83" s="33">
        <f t="shared" si="6"/>
        <v>-5826677.199999988</v>
      </c>
      <c r="F83" s="34">
        <f t="shared" si="7"/>
        <v>-0.02191478927607428</v>
      </c>
    </row>
    <row r="84" spans="1:6" s="24" customFormat="1" ht="26.25">
      <c r="A84" s="39" t="s">
        <v>79</v>
      </c>
      <c r="B84" s="33">
        <f>2Year!B84+4Year!B84</f>
        <v>267931</v>
      </c>
      <c r="C84" s="33">
        <f>2Year!C84+4Year!C84</f>
        <v>0</v>
      </c>
      <c r="D84" s="33">
        <f>2Year!D84+4Year!D84</f>
        <v>105000</v>
      </c>
      <c r="E84" s="33">
        <f t="shared" si="6"/>
        <v>105000</v>
      </c>
      <c r="F84" s="34">
        <f t="shared" si="7"/>
        <v>1</v>
      </c>
    </row>
    <row r="85" spans="1:6" s="24" customFormat="1" ht="26.25">
      <c r="A85" s="39" t="s">
        <v>80</v>
      </c>
      <c r="B85" s="33">
        <f>2Year!B85+4Year!B85</f>
        <v>20343821.680000003</v>
      </c>
      <c r="C85" s="33">
        <f>2Year!C85+4Year!C85</f>
        <v>18523033</v>
      </c>
      <c r="D85" s="33">
        <f>2Year!D85+4Year!D85</f>
        <v>18478043</v>
      </c>
      <c r="E85" s="33">
        <f t="shared" si="6"/>
        <v>-44990</v>
      </c>
      <c r="F85" s="34">
        <f t="shared" si="7"/>
        <v>-0.002428867885729081</v>
      </c>
    </row>
    <row r="86" spans="1:6" s="46" customFormat="1" ht="26.25">
      <c r="A86" s="42" t="s">
        <v>81</v>
      </c>
      <c r="B86" s="52">
        <f>2Year!B86+4Year!B86</f>
        <v>311810217.03000003</v>
      </c>
      <c r="C86" s="52">
        <f>2Year!C86+4Year!C86</f>
        <v>299508250.87</v>
      </c>
      <c r="D86" s="52">
        <f>2Year!D86+4Year!D86</f>
        <v>298438212</v>
      </c>
      <c r="E86" s="52">
        <f t="shared" si="6"/>
        <v>-1070038.8700000048</v>
      </c>
      <c r="F86" s="45">
        <f t="shared" si="7"/>
        <v>-0.003572652395691261</v>
      </c>
    </row>
    <row r="87" spans="1:6" s="24" customFormat="1" ht="26.25">
      <c r="A87" s="39" t="s">
        <v>82</v>
      </c>
      <c r="B87" s="33">
        <f>2Year!B87+4Year!B87</f>
        <v>18165085.25</v>
      </c>
      <c r="C87" s="33">
        <f>2Year!C87+4Year!C87</f>
        <v>13300900.22</v>
      </c>
      <c r="D87" s="33">
        <f>2Year!D87+4Year!D87</f>
        <v>8786141.028844543</v>
      </c>
      <c r="E87" s="33">
        <f t="shared" si="6"/>
        <v>-4514759.191155458</v>
      </c>
      <c r="F87" s="34">
        <f t="shared" si="7"/>
        <v>-0.3394326035441425</v>
      </c>
    </row>
    <row r="88" spans="1:6" s="24" customFormat="1" ht="26.25">
      <c r="A88" s="39" t="s">
        <v>83</v>
      </c>
      <c r="B88" s="33">
        <f>2Year!B88+4Year!B88</f>
        <v>6650071.789999999</v>
      </c>
      <c r="C88" s="33">
        <f>2Year!C88+4Year!C88</f>
        <v>7702836.028844542</v>
      </c>
      <c r="D88" s="33">
        <f>2Year!D88+4Year!D88</f>
        <v>6569614</v>
      </c>
      <c r="E88" s="33">
        <f t="shared" si="6"/>
        <v>-1133222.0288445419</v>
      </c>
      <c r="F88" s="34">
        <f t="shared" si="7"/>
        <v>-0.14711750640945812</v>
      </c>
    </row>
    <row r="89" spans="1:6" s="24" customFormat="1" ht="26.25">
      <c r="A89" s="48" t="s">
        <v>84</v>
      </c>
      <c r="B89" s="33">
        <f>2Year!B89+4Year!B89</f>
        <v>2712750.3300000005</v>
      </c>
      <c r="C89" s="33">
        <f>2Year!C89+4Year!C89</f>
        <v>3011841</v>
      </c>
      <c r="D89" s="33">
        <f>2Year!D89+4Year!D89</f>
        <v>674496</v>
      </c>
      <c r="E89" s="33">
        <f t="shared" si="6"/>
        <v>-2337345</v>
      </c>
      <c r="F89" s="34">
        <f t="shared" si="7"/>
        <v>-0.7760519230596834</v>
      </c>
    </row>
    <row r="90" spans="1:6" s="46" customFormat="1" ht="26.25">
      <c r="A90" s="62" t="s">
        <v>85</v>
      </c>
      <c r="B90" s="52">
        <f>2Year!B90+4Year!B90</f>
        <v>27527908.369999997</v>
      </c>
      <c r="C90" s="52">
        <f>2Year!C90+4Year!C90</f>
        <v>24015577.24884454</v>
      </c>
      <c r="D90" s="52">
        <f>2Year!D90+4Year!D90</f>
        <v>16030251.028844543</v>
      </c>
      <c r="E90" s="52">
        <f t="shared" si="6"/>
        <v>-7985326.219999999</v>
      </c>
      <c r="F90" s="45">
        <f t="shared" si="7"/>
        <v>-0.3325061120645849</v>
      </c>
    </row>
    <row r="91" spans="1:6" s="24" customFormat="1" ht="26.25">
      <c r="A91" s="48" t="s">
        <v>86</v>
      </c>
      <c r="B91" s="33">
        <f>2Year!B91+4Year!B91</f>
        <v>0</v>
      </c>
      <c r="C91" s="33">
        <f>2Year!C91+4Year!C91</f>
        <v>0</v>
      </c>
      <c r="D91" s="33">
        <f>2Year!D91+4Year!D91</f>
        <v>0</v>
      </c>
      <c r="E91" s="33">
        <f t="shared" si="6"/>
        <v>0</v>
      </c>
      <c r="F91" s="34">
        <f t="shared" si="7"/>
        <v>0</v>
      </c>
    </row>
    <row r="92" spans="1:6" s="46" customFormat="1" ht="27" thickBot="1">
      <c r="A92" s="63" t="s">
        <v>67</v>
      </c>
      <c r="B92" s="85">
        <f>2Year!B92+4Year!B92+1</f>
        <v>1804611801.9499998</v>
      </c>
      <c r="C92" s="85">
        <f>2Year!C92+4Year!C92</f>
        <v>1848605745.6423256</v>
      </c>
      <c r="D92" s="85">
        <f>2Year!D92+4Year!D92-1</f>
        <v>1886365358.0629354</v>
      </c>
      <c r="E92" s="68">
        <f t="shared" si="6"/>
        <v>37759612.42060971</v>
      </c>
      <c r="F92" s="69">
        <f t="shared" si="7"/>
        <v>0.020425995380366824</v>
      </c>
    </row>
    <row r="93" spans="1:8" s="4" customFormat="1" ht="31.5">
      <c r="A93" s="16"/>
      <c r="B93" s="17"/>
      <c r="C93" s="17"/>
      <c r="D93" s="17"/>
      <c r="E93" s="17"/>
      <c r="F93" s="18" t="s">
        <v>46</v>
      </c>
      <c r="G93" s="19"/>
      <c r="H93" s="19"/>
    </row>
  </sheetData>
  <sheetProtection/>
  <printOptions/>
  <pageMargins left="0.25" right="0.25" top="0.75" bottom="0.75" header="0.3" footer="0.3"/>
  <pageSetup fitToWidth="0" fitToHeight="1" horizontalDpi="600" verticalDpi="600" orientation="portrait" scale="2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60" zoomScaleNormal="60" zoomScalePageLayoutView="0" workbookViewId="0" topLeftCell="A58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71" t="s">
        <v>106</v>
      </c>
      <c r="E1" s="96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1266403</v>
      </c>
      <c r="C8" s="33">
        <v>1266403</v>
      </c>
      <c r="D8" s="33">
        <v>1286145</v>
      </c>
      <c r="E8" s="33">
        <f aca="true" t="shared" si="0" ref="E8:E29">D8-C8</f>
        <v>19742</v>
      </c>
      <c r="F8" s="34">
        <f aca="true" t="shared" si="1" ref="F8:F29">IF(ISBLANK(E8),"  ",IF(C8&gt;0,E8/C8,IF(E8&gt;0,1,0)))</f>
        <v>0.015589034454277192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0</v>
      </c>
      <c r="C10" s="36">
        <v>0</v>
      </c>
      <c r="D10" s="36">
        <v>0</v>
      </c>
      <c r="E10" s="36">
        <f t="shared" si="0"/>
        <v>0</v>
      </c>
      <c r="F10" s="34">
        <f t="shared" si="1"/>
        <v>0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0</v>
      </c>
      <c r="C12" s="38">
        <v>0</v>
      </c>
      <c r="D12" s="38">
        <v>0</v>
      </c>
      <c r="E12" s="36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1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  <c r="P23" s="100" t="s">
        <v>46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1266403</v>
      </c>
      <c r="C35" s="44">
        <v>1266403</v>
      </c>
      <c r="D35" s="44">
        <v>1286145</v>
      </c>
      <c r="E35" s="44">
        <f>D35-C35</f>
        <v>19742</v>
      </c>
      <c r="F35" s="45">
        <f>IF(ISBLANK(E35),"  ",IF(C35&gt;0,E35/C35,IF(E35&gt;0,1,0)))</f>
        <v>0.015589034454277192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0</v>
      </c>
      <c r="C48" s="50">
        <v>0</v>
      </c>
      <c r="D48" s="50">
        <v>0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1266403</v>
      </c>
      <c r="C54" s="50">
        <v>1266403</v>
      </c>
      <c r="D54" s="50">
        <v>1286145</v>
      </c>
      <c r="E54" s="50">
        <f>D54-C54</f>
        <v>19742</v>
      </c>
      <c r="F54" s="45">
        <f>IF(ISBLANK(E54),"  ",IF(C54&gt;0,E54/C54,IF(E54&gt;0,1,0)))</f>
        <v>0.015589034454277192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1261416</v>
      </c>
      <c r="C61" s="38">
        <v>1261416</v>
      </c>
      <c r="D61" s="38">
        <v>1280188</v>
      </c>
      <c r="E61" s="38">
        <f t="shared" si="4"/>
        <v>18772</v>
      </c>
      <c r="F61" s="34">
        <f t="shared" si="5"/>
        <v>0.01488168851512903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4987</v>
      </c>
      <c r="C63" s="38">
        <v>4987</v>
      </c>
      <c r="D63" s="38">
        <v>5957</v>
      </c>
      <c r="E63" s="38">
        <f t="shared" si="4"/>
        <v>970</v>
      </c>
      <c r="F63" s="34">
        <f t="shared" si="5"/>
        <v>0.19450571485863244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0</v>
      </c>
      <c r="C65" s="38">
        <v>0</v>
      </c>
      <c r="D65" s="38">
        <v>0</v>
      </c>
      <c r="E65" s="38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44">
        <v>1266403</v>
      </c>
      <c r="C66" s="44">
        <v>1266403</v>
      </c>
      <c r="D66" s="44">
        <v>1286145</v>
      </c>
      <c r="E66" s="44">
        <f t="shared" si="4"/>
        <v>19742</v>
      </c>
      <c r="F66" s="45">
        <f t="shared" si="5"/>
        <v>0.015589034454277192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1266403</v>
      </c>
      <c r="C71" s="61">
        <v>1266403</v>
      </c>
      <c r="D71" s="61">
        <v>1286145</v>
      </c>
      <c r="E71" s="61">
        <f t="shared" si="4"/>
        <v>19742</v>
      </c>
      <c r="F71" s="45">
        <f t="shared" si="5"/>
        <v>0.015589034454277192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116900</v>
      </c>
      <c r="C74" s="33">
        <v>116900</v>
      </c>
      <c r="D74" s="33">
        <v>116900</v>
      </c>
      <c r="E74" s="29">
        <f aca="true" t="shared" si="6" ref="E74:E92">D74-C74</f>
        <v>0</v>
      </c>
      <c r="F74" s="34">
        <f aca="true" t="shared" si="7" ref="F74:F92">IF(ISBLANK(E74),"  ",IF(C74&gt;0,E74/C74,IF(E74&gt;0,1,0)))</f>
        <v>0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44876</v>
      </c>
      <c r="C76" s="29">
        <v>44876</v>
      </c>
      <c r="D76" s="29">
        <v>44876</v>
      </c>
      <c r="E76" s="38">
        <f t="shared" si="6"/>
        <v>0</v>
      </c>
      <c r="F76" s="34">
        <f t="shared" si="7"/>
        <v>0</v>
      </c>
    </row>
    <row r="77" spans="1:6" s="102" customFormat="1" ht="26.25">
      <c r="A77" s="59" t="s">
        <v>72</v>
      </c>
      <c r="B77" s="61">
        <v>161776</v>
      </c>
      <c r="C77" s="61">
        <v>161776</v>
      </c>
      <c r="D77" s="61">
        <v>161776</v>
      </c>
      <c r="E77" s="44">
        <f t="shared" si="6"/>
        <v>0</v>
      </c>
      <c r="F77" s="45">
        <f t="shared" si="7"/>
        <v>0</v>
      </c>
    </row>
    <row r="78" spans="1:6" s="100" customFormat="1" ht="26.25">
      <c r="A78" s="39" t="s">
        <v>73</v>
      </c>
      <c r="B78" s="36">
        <v>550</v>
      </c>
      <c r="C78" s="36">
        <v>550</v>
      </c>
      <c r="D78" s="36">
        <v>550</v>
      </c>
      <c r="E78" s="38">
        <f t="shared" si="6"/>
        <v>0</v>
      </c>
      <c r="F78" s="34">
        <f t="shared" si="7"/>
        <v>0</v>
      </c>
    </row>
    <row r="79" spans="1:6" s="100" customFormat="1" ht="26.25">
      <c r="A79" s="39" t="s">
        <v>74</v>
      </c>
      <c r="B79" s="33">
        <v>664992</v>
      </c>
      <c r="C79" s="33">
        <v>664992</v>
      </c>
      <c r="D79" s="33">
        <v>665962</v>
      </c>
      <c r="E79" s="38">
        <f t="shared" si="6"/>
        <v>970</v>
      </c>
      <c r="F79" s="34">
        <f t="shared" si="7"/>
        <v>0.0014586641643809248</v>
      </c>
    </row>
    <row r="80" spans="1:6" s="100" customFormat="1" ht="26.25">
      <c r="A80" s="39" t="s">
        <v>75</v>
      </c>
      <c r="B80" s="29">
        <v>0</v>
      </c>
      <c r="C80" s="29">
        <v>0</v>
      </c>
      <c r="D80" s="29">
        <v>0</v>
      </c>
      <c r="E80" s="38">
        <f t="shared" si="6"/>
        <v>0</v>
      </c>
      <c r="F80" s="34">
        <f t="shared" si="7"/>
        <v>0</v>
      </c>
    </row>
    <row r="81" spans="1:6" s="102" customFormat="1" ht="26.25">
      <c r="A81" s="42" t="s">
        <v>76</v>
      </c>
      <c r="B81" s="61">
        <v>665542</v>
      </c>
      <c r="C81" s="61">
        <v>665542</v>
      </c>
      <c r="D81" s="61">
        <v>666512</v>
      </c>
      <c r="E81" s="44">
        <f t="shared" si="6"/>
        <v>970</v>
      </c>
      <c r="F81" s="45">
        <f t="shared" si="7"/>
        <v>0.0014574587328823726</v>
      </c>
    </row>
    <row r="82" spans="1:6" s="100" customFormat="1" ht="26.25">
      <c r="A82" s="39" t="s">
        <v>77</v>
      </c>
      <c r="B82" s="29">
        <v>3000</v>
      </c>
      <c r="C82" s="29">
        <v>3000</v>
      </c>
      <c r="D82" s="29">
        <v>3000</v>
      </c>
      <c r="E82" s="38">
        <f t="shared" si="6"/>
        <v>0</v>
      </c>
      <c r="F82" s="34">
        <f t="shared" si="7"/>
        <v>0</v>
      </c>
    </row>
    <row r="83" spans="1:6" s="100" customFormat="1" ht="26.25">
      <c r="A83" s="39" t="s">
        <v>78</v>
      </c>
      <c r="B83" s="38">
        <v>436085</v>
      </c>
      <c r="C83" s="38">
        <v>436085</v>
      </c>
      <c r="D83" s="38">
        <v>454857</v>
      </c>
      <c r="E83" s="38">
        <f t="shared" si="6"/>
        <v>18772</v>
      </c>
      <c r="F83" s="34">
        <f t="shared" si="7"/>
        <v>0.04304665374869578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0</v>
      </c>
      <c r="C85" s="38">
        <v>0</v>
      </c>
      <c r="D85" s="38">
        <v>0</v>
      </c>
      <c r="E85" s="38">
        <f t="shared" si="6"/>
        <v>0</v>
      </c>
      <c r="F85" s="34">
        <f t="shared" si="7"/>
        <v>0</v>
      </c>
    </row>
    <row r="86" spans="1:6" s="102" customFormat="1" ht="26.25">
      <c r="A86" s="42" t="s">
        <v>81</v>
      </c>
      <c r="B86" s="44">
        <v>439085</v>
      </c>
      <c r="C86" s="44">
        <v>439085</v>
      </c>
      <c r="D86" s="44">
        <v>457857</v>
      </c>
      <c r="E86" s="44">
        <f t="shared" si="6"/>
        <v>18772</v>
      </c>
      <c r="F86" s="45">
        <f t="shared" si="7"/>
        <v>0.04275254221847706</v>
      </c>
    </row>
    <row r="87" spans="1:6" s="100" customFormat="1" ht="26.25">
      <c r="A87" s="39" t="s">
        <v>82</v>
      </c>
      <c r="B87" s="38">
        <v>0</v>
      </c>
      <c r="C87" s="38">
        <v>0</v>
      </c>
      <c r="D87" s="38">
        <v>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0</v>
      </c>
      <c r="C90" s="61">
        <v>0</v>
      </c>
      <c r="D90" s="61">
        <v>0</v>
      </c>
      <c r="E90" s="61">
        <f t="shared" si="6"/>
        <v>0</v>
      </c>
      <c r="F90" s="45">
        <f t="shared" si="7"/>
        <v>0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1266403</v>
      </c>
      <c r="C92" s="64">
        <v>1266403</v>
      </c>
      <c r="D92" s="64">
        <v>1286145</v>
      </c>
      <c r="E92" s="64">
        <f t="shared" si="6"/>
        <v>19742</v>
      </c>
      <c r="F92" s="65">
        <f t="shared" si="7"/>
        <v>0.015589034454277192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71" t="s">
        <v>108</v>
      </c>
      <c r="E1" s="96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14605686</v>
      </c>
      <c r="C8" s="33">
        <v>14605686</v>
      </c>
      <c r="D8" s="33">
        <v>14432889</v>
      </c>
      <c r="E8" s="33">
        <f aca="true" t="shared" si="0" ref="E8:E29">D8-C8</f>
        <v>-172797</v>
      </c>
      <c r="F8" s="34">
        <f aca="true" t="shared" si="1" ref="F8:F29">IF(ISBLANK(E8),"  ",IF(C8&gt;0,E8/C8,IF(E8&gt;0,1,0)))</f>
        <v>-0.011830803428199128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690127.25</v>
      </c>
      <c r="C10" s="36">
        <v>796247</v>
      </c>
      <c r="D10" s="36">
        <v>767209</v>
      </c>
      <c r="E10" s="36">
        <f t="shared" si="0"/>
        <v>-29038</v>
      </c>
      <c r="F10" s="34">
        <f t="shared" si="1"/>
        <v>-0.03646858324112995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690127.25</v>
      </c>
      <c r="C12" s="38">
        <v>796247</v>
      </c>
      <c r="D12" s="38">
        <v>767209</v>
      </c>
      <c r="E12" s="36">
        <f t="shared" si="0"/>
        <v>-29038</v>
      </c>
      <c r="F12" s="34">
        <f t="shared" si="1"/>
        <v>-0.03646858324112995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15295813.25</v>
      </c>
      <c r="C35" s="44">
        <v>15401933</v>
      </c>
      <c r="D35" s="44">
        <v>15200098</v>
      </c>
      <c r="E35" s="44">
        <f>D35-C35</f>
        <v>-201835</v>
      </c>
      <c r="F35" s="45">
        <f>IF(ISBLANK(E35),"  ",IF(C35&gt;0,E35/C35,IF(E35&gt;0,1,0)))</f>
        <v>-0.013104523958129152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19775902</v>
      </c>
      <c r="C48" s="50">
        <v>26189562</v>
      </c>
      <c r="D48" s="50">
        <v>22900000</v>
      </c>
      <c r="E48" s="50">
        <f>D48-C48</f>
        <v>-3289562</v>
      </c>
      <c r="F48" s="45">
        <f>IF(ISBLANK(E48),"  ",IF(C48&gt;0,E48/C48,IF(E48&gt;0,1,0)))</f>
        <v>-0.12560584251084458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35071715.25</v>
      </c>
      <c r="C54" s="50">
        <v>41591495</v>
      </c>
      <c r="D54" s="50">
        <v>38100098</v>
      </c>
      <c r="E54" s="50">
        <f>D54-C54</f>
        <v>-3491397</v>
      </c>
      <c r="F54" s="45">
        <f>IF(ISBLANK(E54),"  ",IF(C54&gt;0,E54/C54,IF(E54&gt;0,1,0)))</f>
        <v>-0.08394497480795052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14829516</v>
      </c>
      <c r="C58" s="29">
        <v>16146041</v>
      </c>
      <c r="D58" s="29">
        <v>16476490</v>
      </c>
      <c r="E58" s="29">
        <f aca="true" t="shared" si="4" ref="E58:E71">D58-C58</f>
        <v>330449</v>
      </c>
      <c r="F58" s="34">
        <f aca="true" t="shared" si="5" ref="F58:F71">IF(ISBLANK(E58),"  ",IF(C58&gt;0,E58/C58,IF(E58&gt;0,1,0)))</f>
        <v>0.020466255474019916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3948474.2800000003</v>
      </c>
      <c r="C61" s="38">
        <v>4236487</v>
      </c>
      <c r="D61" s="38">
        <v>4352610</v>
      </c>
      <c r="E61" s="38">
        <f t="shared" si="4"/>
        <v>116123</v>
      </c>
      <c r="F61" s="34">
        <f t="shared" si="5"/>
        <v>0.027410210393658707</v>
      </c>
    </row>
    <row r="62" spans="1:6" s="100" customFormat="1" ht="26.25">
      <c r="A62" s="39" t="s">
        <v>58</v>
      </c>
      <c r="B62" s="38">
        <v>3688661</v>
      </c>
      <c r="C62" s="38">
        <v>4001089</v>
      </c>
      <c r="D62" s="38">
        <v>3940143</v>
      </c>
      <c r="E62" s="38">
        <f t="shared" si="4"/>
        <v>-60946</v>
      </c>
      <c r="F62" s="34">
        <f t="shared" si="5"/>
        <v>-0.015232352991897955</v>
      </c>
    </row>
    <row r="63" spans="1:6" s="100" customFormat="1" ht="26.25">
      <c r="A63" s="39" t="s">
        <v>59</v>
      </c>
      <c r="B63" s="38">
        <v>6081478.5</v>
      </c>
      <c r="C63" s="38">
        <v>7288494</v>
      </c>
      <c r="D63" s="38">
        <v>6072979</v>
      </c>
      <c r="E63" s="38">
        <f t="shared" si="4"/>
        <v>-1215515</v>
      </c>
      <c r="F63" s="34">
        <f t="shared" si="5"/>
        <v>-0.16677176382391204</v>
      </c>
    </row>
    <row r="64" spans="1:6" s="100" customFormat="1" ht="26.25">
      <c r="A64" s="39" t="s">
        <v>60</v>
      </c>
      <c r="B64" s="38">
        <v>0</v>
      </c>
      <c r="C64" s="38">
        <v>1200000</v>
      </c>
      <c r="D64" s="38">
        <v>0</v>
      </c>
      <c r="E64" s="38">
        <f t="shared" si="4"/>
        <v>-1200000</v>
      </c>
      <c r="F64" s="34">
        <f t="shared" si="5"/>
        <v>-1</v>
      </c>
    </row>
    <row r="65" spans="1:6" s="100" customFormat="1" ht="26.25">
      <c r="A65" s="39" t="s">
        <v>61</v>
      </c>
      <c r="B65" s="38">
        <v>5156631</v>
      </c>
      <c r="C65" s="38">
        <v>7387951</v>
      </c>
      <c r="D65" s="38">
        <v>5853615</v>
      </c>
      <c r="E65" s="38">
        <f t="shared" si="4"/>
        <v>-1534336</v>
      </c>
      <c r="F65" s="34">
        <f t="shared" si="5"/>
        <v>-0.20768085765593194</v>
      </c>
    </row>
    <row r="66" spans="1:6" s="102" customFormat="1" ht="26.25">
      <c r="A66" s="59" t="s">
        <v>62</v>
      </c>
      <c r="B66" s="44">
        <v>33704760.78</v>
      </c>
      <c r="C66" s="44">
        <v>40260062</v>
      </c>
      <c r="D66" s="44">
        <v>36695837</v>
      </c>
      <c r="E66" s="44">
        <f t="shared" si="4"/>
        <v>-3564225</v>
      </c>
      <c r="F66" s="45">
        <f t="shared" si="5"/>
        <v>-0.08853004250217002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1366954</v>
      </c>
      <c r="C68" s="38">
        <v>1331433</v>
      </c>
      <c r="D68" s="38">
        <v>1404261</v>
      </c>
      <c r="E68" s="38">
        <f t="shared" si="4"/>
        <v>72828</v>
      </c>
      <c r="F68" s="34">
        <f t="shared" si="5"/>
        <v>0.05469895969230145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35071714.78</v>
      </c>
      <c r="C71" s="61">
        <v>41591495</v>
      </c>
      <c r="D71" s="61">
        <v>38100098</v>
      </c>
      <c r="E71" s="61">
        <f t="shared" si="4"/>
        <v>-3491397</v>
      </c>
      <c r="F71" s="45">
        <f t="shared" si="5"/>
        <v>-0.08394497480795052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21404222.28</v>
      </c>
      <c r="C74" s="33">
        <v>23148663</v>
      </c>
      <c r="D74" s="33">
        <v>21475504</v>
      </c>
      <c r="E74" s="29">
        <f aca="true" t="shared" si="6" ref="E74:E92">D74-C74</f>
        <v>-1673159</v>
      </c>
      <c r="F74" s="34">
        <f aca="true" t="shared" si="7" ref="F74:F92">IF(ISBLANK(E74),"  ",IF(C74&gt;0,E74/C74,IF(E74&gt;0,1,0)))</f>
        <v>-0.07227886120248068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8348345</v>
      </c>
      <c r="C76" s="29">
        <v>9107294</v>
      </c>
      <c r="D76" s="29">
        <v>9318813</v>
      </c>
      <c r="E76" s="38">
        <f t="shared" si="6"/>
        <v>211519</v>
      </c>
      <c r="F76" s="34">
        <f t="shared" si="7"/>
        <v>0.023225230238531885</v>
      </c>
    </row>
    <row r="77" spans="1:6" s="102" customFormat="1" ht="26.25">
      <c r="A77" s="59" t="s">
        <v>72</v>
      </c>
      <c r="B77" s="61">
        <v>29752567.28</v>
      </c>
      <c r="C77" s="61">
        <v>32255957</v>
      </c>
      <c r="D77" s="61">
        <v>30794317</v>
      </c>
      <c r="E77" s="44">
        <f t="shared" si="6"/>
        <v>-1461640</v>
      </c>
      <c r="F77" s="45">
        <f t="shared" si="7"/>
        <v>-0.04531380048652719</v>
      </c>
    </row>
    <row r="78" spans="1:6" s="100" customFormat="1" ht="26.25">
      <c r="A78" s="39" t="s">
        <v>73</v>
      </c>
      <c r="B78" s="36">
        <v>24343</v>
      </c>
      <c r="C78" s="36">
        <v>0</v>
      </c>
      <c r="D78" s="36">
        <v>14789</v>
      </c>
      <c r="E78" s="38">
        <f t="shared" si="6"/>
        <v>14789</v>
      </c>
      <c r="F78" s="34">
        <f t="shared" si="7"/>
        <v>1</v>
      </c>
    </row>
    <row r="79" spans="1:6" s="100" customFormat="1" ht="26.25">
      <c r="A79" s="39" t="s">
        <v>74</v>
      </c>
      <c r="B79" s="33">
        <v>3440109</v>
      </c>
      <c r="C79" s="33">
        <v>5832816</v>
      </c>
      <c r="D79" s="33">
        <v>4746114</v>
      </c>
      <c r="E79" s="38">
        <f t="shared" si="6"/>
        <v>-1086702</v>
      </c>
      <c r="F79" s="34">
        <f t="shared" si="7"/>
        <v>-0.1863082943127299</v>
      </c>
    </row>
    <row r="80" spans="1:6" s="100" customFormat="1" ht="26.25">
      <c r="A80" s="39" t="s">
        <v>75</v>
      </c>
      <c r="B80" s="29">
        <v>138686</v>
      </c>
      <c r="C80" s="29">
        <v>542000</v>
      </c>
      <c r="D80" s="29">
        <v>879859</v>
      </c>
      <c r="E80" s="38">
        <f t="shared" si="6"/>
        <v>337859</v>
      </c>
      <c r="F80" s="34">
        <f t="shared" si="7"/>
        <v>0.6233560885608856</v>
      </c>
    </row>
    <row r="81" spans="1:6" s="102" customFormat="1" ht="26.25">
      <c r="A81" s="42" t="s">
        <v>76</v>
      </c>
      <c r="B81" s="61">
        <v>3603138</v>
      </c>
      <c r="C81" s="61">
        <v>6374816</v>
      </c>
      <c r="D81" s="61">
        <v>5640762</v>
      </c>
      <c r="E81" s="44">
        <f t="shared" si="6"/>
        <v>-734054</v>
      </c>
      <c r="F81" s="45">
        <f t="shared" si="7"/>
        <v>-0.11514904900784588</v>
      </c>
    </row>
    <row r="82" spans="1:6" s="100" customFormat="1" ht="26.25">
      <c r="A82" s="39" t="s">
        <v>77</v>
      </c>
      <c r="B82" s="29">
        <v>109418.5</v>
      </c>
      <c r="C82" s="29">
        <v>222500</v>
      </c>
      <c r="D82" s="29">
        <v>178503</v>
      </c>
      <c r="E82" s="38">
        <f t="shared" si="6"/>
        <v>-43997</v>
      </c>
      <c r="F82" s="34">
        <f t="shared" si="7"/>
        <v>-0.19773932584269663</v>
      </c>
    </row>
    <row r="83" spans="1:6" s="100" customFormat="1" ht="26.25">
      <c r="A83" s="39" t="s">
        <v>78</v>
      </c>
      <c r="B83" s="38">
        <v>31118</v>
      </c>
      <c r="C83" s="38">
        <v>1271789</v>
      </c>
      <c r="D83" s="38">
        <v>21000</v>
      </c>
      <c r="E83" s="38">
        <f t="shared" si="6"/>
        <v>-1250789</v>
      </c>
      <c r="F83" s="34">
        <f t="shared" si="7"/>
        <v>-0.983487826990169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1366954</v>
      </c>
      <c r="C85" s="38">
        <v>1331433</v>
      </c>
      <c r="D85" s="38">
        <v>1404261</v>
      </c>
      <c r="E85" s="38">
        <f t="shared" si="6"/>
        <v>72828</v>
      </c>
      <c r="F85" s="34">
        <f t="shared" si="7"/>
        <v>0.05469895969230145</v>
      </c>
    </row>
    <row r="86" spans="1:6" s="102" customFormat="1" ht="26.25">
      <c r="A86" s="42" t="s">
        <v>81</v>
      </c>
      <c r="B86" s="44">
        <v>1507490.5</v>
      </c>
      <c r="C86" s="44">
        <v>2825722</v>
      </c>
      <c r="D86" s="44">
        <v>1603764</v>
      </c>
      <c r="E86" s="44">
        <f t="shared" si="6"/>
        <v>-1221958</v>
      </c>
      <c r="F86" s="45">
        <f t="shared" si="7"/>
        <v>-0.4324409832248183</v>
      </c>
    </row>
    <row r="87" spans="1:6" s="100" customFormat="1" ht="26.25">
      <c r="A87" s="39" t="s">
        <v>82</v>
      </c>
      <c r="B87" s="38">
        <v>208519</v>
      </c>
      <c r="C87" s="38">
        <v>135000</v>
      </c>
      <c r="D87" s="38">
        <v>61255</v>
      </c>
      <c r="E87" s="38">
        <f t="shared" si="6"/>
        <v>-73745</v>
      </c>
      <c r="F87" s="34">
        <f t="shared" si="7"/>
        <v>-0.5462592592592592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208519</v>
      </c>
      <c r="C90" s="61">
        <v>135000</v>
      </c>
      <c r="D90" s="61">
        <v>61255</v>
      </c>
      <c r="E90" s="61">
        <f t="shared" si="6"/>
        <v>-73745</v>
      </c>
      <c r="F90" s="45">
        <f t="shared" si="7"/>
        <v>-0.5462592592592592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35071714.78</v>
      </c>
      <c r="C92" s="64">
        <v>41591495</v>
      </c>
      <c r="D92" s="64">
        <v>38100098</v>
      </c>
      <c r="E92" s="64">
        <f t="shared" si="6"/>
        <v>-3491397</v>
      </c>
      <c r="F92" s="65">
        <f t="shared" si="7"/>
        <v>-0.08394497480795052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71" t="s">
        <v>107</v>
      </c>
      <c r="E1" s="96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10441123</v>
      </c>
      <c r="C8" s="33">
        <v>10441123</v>
      </c>
      <c r="D8" s="33">
        <v>10847513</v>
      </c>
      <c r="E8" s="33">
        <f aca="true" t="shared" si="0" ref="E8:E29">D8-C8</f>
        <v>406390</v>
      </c>
      <c r="F8" s="34">
        <f aca="true" t="shared" si="1" ref="F8:F29">IF(ISBLANK(E8),"  ",IF(C8&gt;0,E8/C8,IF(E8&gt;0,1,0)))</f>
        <v>0.03892205847972483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347795.1</v>
      </c>
      <c r="C10" s="36">
        <v>401275</v>
      </c>
      <c r="D10" s="36">
        <v>389174</v>
      </c>
      <c r="E10" s="36">
        <f t="shared" si="0"/>
        <v>-12101</v>
      </c>
      <c r="F10" s="34">
        <f t="shared" si="1"/>
        <v>-0.03015637654974768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347795.1</v>
      </c>
      <c r="C12" s="38">
        <v>401275</v>
      </c>
      <c r="D12" s="38">
        <v>389174</v>
      </c>
      <c r="E12" s="36">
        <f t="shared" si="0"/>
        <v>-12101</v>
      </c>
      <c r="F12" s="34">
        <f t="shared" si="1"/>
        <v>-0.03015637654974768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10788918.1</v>
      </c>
      <c r="C35" s="44">
        <v>10842398</v>
      </c>
      <c r="D35" s="44">
        <v>11236687</v>
      </c>
      <c r="E35" s="44">
        <f>D35-C35</f>
        <v>394289</v>
      </c>
      <c r="F35" s="45">
        <f>IF(ISBLANK(E35),"  ",IF(C35&gt;0,E35/C35,IF(E35&gt;0,1,0)))</f>
        <v>0.036365479297107525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19627576.9</v>
      </c>
      <c r="C48" s="50">
        <v>25530255</v>
      </c>
      <c r="D48" s="50">
        <v>24030255</v>
      </c>
      <c r="E48" s="50">
        <f>D48-C48</f>
        <v>-1500000</v>
      </c>
      <c r="F48" s="45">
        <f>IF(ISBLANK(E48),"  ",IF(C48&gt;0,E48/C48,IF(E48&gt;0,1,0)))</f>
        <v>-0.058753819732705374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30416495</v>
      </c>
      <c r="C54" s="50">
        <v>36372653</v>
      </c>
      <c r="D54" s="50">
        <v>35266942</v>
      </c>
      <c r="E54" s="50">
        <f>D54-C54</f>
        <v>-1105711</v>
      </c>
      <c r="F54" s="45">
        <f>IF(ISBLANK(E54),"  ",IF(C54&gt;0,E54/C54,IF(E54&gt;0,1,0)))</f>
        <v>-0.030399514712330718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14374731.31</v>
      </c>
      <c r="C58" s="29">
        <v>15506609</v>
      </c>
      <c r="D58" s="29">
        <v>17159334</v>
      </c>
      <c r="E58" s="29">
        <f aca="true" t="shared" si="4" ref="E58:E71">D58-C58</f>
        <v>1652725</v>
      </c>
      <c r="F58" s="34">
        <f aca="true" t="shared" si="5" ref="F58:F71">IF(ISBLANK(E58),"  ",IF(C58&gt;0,E58/C58,IF(E58&gt;0,1,0)))</f>
        <v>0.10658197417630122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241473.05</v>
      </c>
      <c r="C60" s="38">
        <v>273131</v>
      </c>
      <c r="D60" s="38">
        <v>262941</v>
      </c>
      <c r="E60" s="38">
        <f t="shared" si="4"/>
        <v>-10190</v>
      </c>
      <c r="F60" s="34">
        <f t="shared" si="5"/>
        <v>-0.037308104902043344</v>
      </c>
    </row>
    <row r="61" spans="1:6" s="100" customFormat="1" ht="26.25">
      <c r="A61" s="39" t="s">
        <v>57</v>
      </c>
      <c r="B61" s="38">
        <v>2387637.8299999996</v>
      </c>
      <c r="C61" s="38">
        <v>2787839</v>
      </c>
      <c r="D61" s="38">
        <v>2729715</v>
      </c>
      <c r="E61" s="38">
        <f t="shared" si="4"/>
        <v>-58124</v>
      </c>
      <c r="F61" s="34">
        <f t="shared" si="5"/>
        <v>-0.020849123640210212</v>
      </c>
    </row>
    <row r="62" spans="1:6" s="100" customFormat="1" ht="26.25">
      <c r="A62" s="39" t="s">
        <v>58</v>
      </c>
      <c r="B62" s="38">
        <v>1909342.2999999998</v>
      </c>
      <c r="C62" s="38">
        <v>2585482</v>
      </c>
      <c r="D62" s="38">
        <v>2243257</v>
      </c>
      <c r="E62" s="38">
        <f t="shared" si="4"/>
        <v>-342225</v>
      </c>
      <c r="F62" s="34">
        <f t="shared" si="5"/>
        <v>-0.1323641007750199</v>
      </c>
    </row>
    <row r="63" spans="1:6" s="100" customFormat="1" ht="26.25">
      <c r="A63" s="39" t="s">
        <v>59</v>
      </c>
      <c r="B63" s="38">
        <v>4711706.03</v>
      </c>
      <c r="C63" s="38">
        <v>6945349</v>
      </c>
      <c r="D63" s="38">
        <v>7097269</v>
      </c>
      <c r="E63" s="38">
        <f t="shared" si="4"/>
        <v>151920</v>
      </c>
      <c r="F63" s="34">
        <f t="shared" si="5"/>
        <v>0.021873630828342823</v>
      </c>
    </row>
    <row r="64" spans="1:6" s="100" customFormat="1" ht="26.25">
      <c r="A64" s="39" t="s">
        <v>60</v>
      </c>
      <c r="B64" s="38">
        <v>2429266.08</v>
      </c>
      <c r="C64" s="38">
        <v>2200000</v>
      </c>
      <c r="D64" s="38">
        <v>0</v>
      </c>
      <c r="E64" s="38">
        <f t="shared" si="4"/>
        <v>-2200000</v>
      </c>
      <c r="F64" s="34">
        <f t="shared" si="5"/>
        <v>-1</v>
      </c>
    </row>
    <row r="65" spans="1:6" s="100" customFormat="1" ht="26.25">
      <c r="A65" s="39" t="s">
        <v>61</v>
      </c>
      <c r="B65" s="38">
        <v>2602985.73</v>
      </c>
      <c r="C65" s="38">
        <v>4314891</v>
      </c>
      <c r="D65" s="38">
        <v>4293701</v>
      </c>
      <c r="E65" s="38">
        <f t="shared" si="4"/>
        <v>-21190</v>
      </c>
      <c r="F65" s="34">
        <f t="shared" si="5"/>
        <v>-0.004910900414402125</v>
      </c>
    </row>
    <row r="66" spans="1:6" s="102" customFormat="1" ht="26.25">
      <c r="A66" s="59" t="s">
        <v>62</v>
      </c>
      <c r="B66" s="44">
        <v>28657142.330000002</v>
      </c>
      <c r="C66" s="44">
        <v>34613301</v>
      </c>
      <c r="D66" s="44">
        <v>33786217</v>
      </c>
      <c r="E66" s="44">
        <f t="shared" si="4"/>
        <v>-827084</v>
      </c>
      <c r="F66" s="45">
        <f t="shared" si="5"/>
        <v>-0.023894976096038918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988620</v>
      </c>
      <c r="C68" s="38">
        <v>988620</v>
      </c>
      <c r="D68" s="38">
        <v>975086</v>
      </c>
      <c r="E68" s="38">
        <f t="shared" si="4"/>
        <v>-13534</v>
      </c>
      <c r="F68" s="34">
        <f t="shared" si="5"/>
        <v>-0.013689789808015213</v>
      </c>
    </row>
    <row r="69" spans="1:6" s="100" customFormat="1" ht="26.25">
      <c r="A69" s="39" t="s">
        <v>65</v>
      </c>
      <c r="B69" s="38">
        <v>770732.4800000001</v>
      </c>
      <c r="C69" s="38">
        <v>770732</v>
      </c>
      <c r="D69" s="38">
        <v>505639</v>
      </c>
      <c r="E69" s="38">
        <f t="shared" si="4"/>
        <v>-265093</v>
      </c>
      <c r="F69" s="34">
        <f t="shared" si="5"/>
        <v>-0.3439496478672223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30416494.810000002</v>
      </c>
      <c r="C71" s="61">
        <v>36372653</v>
      </c>
      <c r="D71" s="61">
        <v>35266942</v>
      </c>
      <c r="E71" s="61">
        <f t="shared" si="4"/>
        <v>-1105711</v>
      </c>
      <c r="F71" s="45">
        <f t="shared" si="5"/>
        <v>-0.030399514712330718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14775407.44</v>
      </c>
      <c r="C74" s="33">
        <v>16922157</v>
      </c>
      <c r="D74" s="33">
        <v>15853653</v>
      </c>
      <c r="E74" s="29">
        <f aca="true" t="shared" si="6" ref="E74:E92">D74-C74</f>
        <v>-1068504</v>
      </c>
      <c r="F74" s="34">
        <f aca="true" t="shared" si="7" ref="F74:F92">IF(ISBLANK(E74),"  ",IF(C74&gt;0,E74/C74,IF(E74&gt;0,1,0)))</f>
        <v>-0.06314230508557508</v>
      </c>
    </row>
    <row r="75" spans="1:6" s="100" customFormat="1" ht="26.25">
      <c r="A75" s="39" t="s">
        <v>70</v>
      </c>
      <c r="B75" s="36">
        <v>1382096.82</v>
      </c>
      <c r="C75" s="36">
        <v>1564922</v>
      </c>
      <c r="D75" s="36">
        <v>1274500</v>
      </c>
      <c r="E75" s="38">
        <f t="shared" si="6"/>
        <v>-290422</v>
      </c>
      <c r="F75" s="34">
        <f t="shared" si="7"/>
        <v>-0.18558241241416504</v>
      </c>
    </row>
    <row r="76" spans="1:6" s="100" customFormat="1" ht="26.25">
      <c r="A76" s="39" t="s">
        <v>71</v>
      </c>
      <c r="B76" s="29">
        <v>6021651.68</v>
      </c>
      <c r="C76" s="29">
        <v>6824383</v>
      </c>
      <c r="D76" s="29">
        <v>6775714</v>
      </c>
      <c r="E76" s="38">
        <f t="shared" si="6"/>
        <v>-48669</v>
      </c>
      <c r="F76" s="34">
        <f t="shared" si="7"/>
        <v>-0.007131633731576906</v>
      </c>
    </row>
    <row r="77" spans="1:6" s="102" customFormat="1" ht="26.25">
      <c r="A77" s="59" t="s">
        <v>72</v>
      </c>
      <c r="B77" s="61">
        <v>22179155.939999998</v>
      </c>
      <c r="C77" s="61">
        <v>25311462</v>
      </c>
      <c r="D77" s="61">
        <v>23903867</v>
      </c>
      <c r="E77" s="44">
        <f t="shared" si="6"/>
        <v>-1407595</v>
      </c>
      <c r="F77" s="45">
        <f t="shared" si="7"/>
        <v>-0.05561097181980243</v>
      </c>
    </row>
    <row r="78" spans="1:6" s="100" customFormat="1" ht="26.25">
      <c r="A78" s="39" t="s">
        <v>73</v>
      </c>
      <c r="B78" s="36">
        <v>142932.86</v>
      </c>
      <c r="C78" s="36">
        <v>235908</v>
      </c>
      <c r="D78" s="36">
        <v>217000</v>
      </c>
      <c r="E78" s="38">
        <f t="shared" si="6"/>
        <v>-18908</v>
      </c>
      <c r="F78" s="34">
        <f t="shared" si="7"/>
        <v>-0.08014988893975618</v>
      </c>
    </row>
    <row r="79" spans="1:6" s="100" customFormat="1" ht="26.25">
      <c r="A79" s="39" t="s">
        <v>74</v>
      </c>
      <c r="B79" s="33">
        <v>2943031.34</v>
      </c>
      <c r="C79" s="33">
        <v>3709956</v>
      </c>
      <c r="D79" s="33">
        <v>4108953</v>
      </c>
      <c r="E79" s="38">
        <f t="shared" si="6"/>
        <v>398997</v>
      </c>
      <c r="F79" s="34">
        <f t="shared" si="7"/>
        <v>0.10754763668356175</v>
      </c>
    </row>
    <row r="80" spans="1:6" s="100" customFormat="1" ht="26.25">
      <c r="A80" s="39" t="s">
        <v>75</v>
      </c>
      <c r="B80" s="29">
        <v>358955.37999999995</v>
      </c>
      <c r="C80" s="29">
        <v>606944</v>
      </c>
      <c r="D80" s="29">
        <v>1101320</v>
      </c>
      <c r="E80" s="38">
        <f t="shared" si="6"/>
        <v>494376</v>
      </c>
      <c r="F80" s="34">
        <f t="shared" si="7"/>
        <v>0.8145331365002373</v>
      </c>
    </row>
    <row r="81" spans="1:6" s="102" customFormat="1" ht="26.25">
      <c r="A81" s="42" t="s">
        <v>76</v>
      </c>
      <c r="B81" s="61">
        <v>3444919.5799999996</v>
      </c>
      <c r="C81" s="61">
        <v>4552808</v>
      </c>
      <c r="D81" s="61">
        <v>5427273</v>
      </c>
      <c r="E81" s="44">
        <f t="shared" si="6"/>
        <v>874465</v>
      </c>
      <c r="F81" s="45">
        <f t="shared" si="7"/>
        <v>0.19207157428997665</v>
      </c>
    </row>
    <row r="82" spans="1:6" s="100" customFormat="1" ht="26.25">
      <c r="A82" s="39" t="s">
        <v>77</v>
      </c>
      <c r="B82" s="29">
        <v>495203.74000000005</v>
      </c>
      <c r="C82" s="29">
        <v>857487</v>
      </c>
      <c r="D82" s="29">
        <v>985900</v>
      </c>
      <c r="E82" s="38">
        <f t="shared" si="6"/>
        <v>128413</v>
      </c>
      <c r="F82" s="34">
        <f t="shared" si="7"/>
        <v>0.1497550400180994</v>
      </c>
    </row>
    <row r="83" spans="1:6" s="100" customFormat="1" ht="26.25">
      <c r="A83" s="39" t="s">
        <v>78</v>
      </c>
      <c r="B83" s="38">
        <v>3230864.43</v>
      </c>
      <c r="C83" s="38">
        <v>4564045</v>
      </c>
      <c r="D83" s="38">
        <v>3681406</v>
      </c>
      <c r="E83" s="38">
        <f t="shared" si="6"/>
        <v>-882639</v>
      </c>
      <c r="F83" s="34">
        <f t="shared" si="7"/>
        <v>-0.19338963572883264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988620</v>
      </c>
      <c r="C85" s="38">
        <v>988620</v>
      </c>
      <c r="D85" s="38">
        <v>975086</v>
      </c>
      <c r="E85" s="38">
        <f t="shared" si="6"/>
        <v>-13534</v>
      </c>
      <c r="F85" s="34">
        <f t="shared" si="7"/>
        <v>-0.013689789808015213</v>
      </c>
    </row>
    <row r="86" spans="1:6" s="102" customFormat="1" ht="26.25">
      <c r="A86" s="42" t="s">
        <v>81</v>
      </c>
      <c r="B86" s="44">
        <v>4714688.17</v>
      </c>
      <c r="C86" s="44">
        <v>6410152</v>
      </c>
      <c r="D86" s="44">
        <v>5642392</v>
      </c>
      <c r="E86" s="44">
        <f t="shared" si="6"/>
        <v>-767760</v>
      </c>
      <c r="F86" s="45">
        <f t="shared" si="7"/>
        <v>-0.1197725108546568</v>
      </c>
    </row>
    <row r="87" spans="1:6" s="100" customFormat="1" ht="26.25">
      <c r="A87" s="39" t="s">
        <v>82</v>
      </c>
      <c r="B87" s="38">
        <v>77731.12</v>
      </c>
      <c r="C87" s="38">
        <v>98231</v>
      </c>
      <c r="D87" s="38">
        <v>293410</v>
      </c>
      <c r="E87" s="38">
        <f t="shared" si="6"/>
        <v>195179</v>
      </c>
      <c r="F87" s="34">
        <f t="shared" si="7"/>
        <v>1.9869389500259593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77731.12</v>
      </c>
      <c r="C90" s="61">
        <v>98231</v>
      </c>
      <c r="D90" s="61">
        <v>293410</v>
      </c>
      <c r="E90" s="61">
        <f t="shared" si="6"/>
        <v>195179</v>
      </c>
      <c r="F90" s="45">
        <f t="shared" si="7"/>
        <v>1.9869389500259593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30416494.809999995</v>
      </c>
      <c r="C92" s="64">
        <v>36372653</v>
      </c>
      <c r="D92" s="64">
        <v>35266942</v>
      </c>
      <c r="E92" s="64">
        <f t="shared" si="6"/>
        <v>-1105711</v>
      </c>
      <c r="F92" s="65">
        <f t="shared" si="7"/>
        <v>-0.030399514712330718</v>
      </c>
    </row>
    <row r="93" spans="1:8" s="93" customFormat="1" ht="31.5">
      <c r="A93" s="16"/>
      <c r="B93" s="17"/>
      <c r="C93" s="107"/>
      <c r="D93" s="10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143" customWidth="1"/>
    <col min="2" max="2" width="32.7109375" style="94" customWidth="1"/>
    <col min="3" max="5" width="32.8515625" style="144" customWidth="1"/>
    <col min="6" max="6" width="25.57421875" style="145" customWidth="1"/>
    <col min="7" max="7" width="30.28125" style="143" customWidth="1"/>
    <col min="8" max="8" width="25.140625" style="143" customWidth="1"/>
    <col min="9" max="16384" width="9.140625" style="143" customWidth="1"/>
  </cols>
  <sheetData>
    <row r="1" spans="1:8" s="112" customFormat="1" ht="46.5">
      <c r="A1" s="108" t="s">
        <v>0</v>
      </c>
      <c r="B1" s="8"/>
      <c r="C1" s="146" t="s">
        <v>110</v>
      </c>
      <c r="D1" s="109"/>
      <c r="E1" s="110"/>
      <c r="F1" s="111"/>
      <c r="H1" s="113"/>
    </row>
    <row r="2" spans="1:8" s="112" customFormat="1" ht="46.5">
      <c r="A2" s="108" t="s">
        <v>2</v>
      </c>
      <c r="B2" s="8"/>
      <c r="C2" s="114"/>
      <c r="D2" s="114"/>
      <c r="E2" s="114"/>
      <c r="F2" s="115"/>
      <c r="G2" s="113"/>
      <c r="H2" s="113"/>
    </row>
    <row r="3" spans="1:8" s="112" customFormat="1" ht="47.25" thickBot="1">
      <c r="A3" s="116" t="s">
        <v>3</v>
      </c>
      <c r="B3" s="14"/>
      <c r="C3" s="117"/>
      <c r="D3" s="117"/>
      <c r="E3" s="117"/>
      <c r="F3" s="118"/>
      <c r="G3" s="113"/>
      <c r="H3" s="113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19" customFormat="1" ht="26.25">
      <c r="A6" s="120" t="s">
        <v>10</v>
      </c>
      <c r="B6" s="29"/>
      <c r="C6" s="29"/>
      <c r="D6" s="29"/>
      <c r="E6" s="29"/>
      <c r="F6" s="121"/>
    </row>
    <row r="7" spans="1:6" s="119" customFormat="1" ht="26.25">
      <c r="A7" s="120" t="s">
        <v>11</v>
      </c>
      <c r="B7" s="29"/>
      <c r="C7" s="29"/>
      <c r="D7" s="29"/>
      <c r="E7" s="29"/>
      <c r="F7" s="122"/>
    </row>
    <row r="8" spans="1:6" s="119" customFormat="1" ht="26.25">
      <c r="A8" s="123" t="s">
        <v>12</v>
      </c>
      <c r="B8" s="33">
        <v>24753314</v>
      </c>
      <c r="C8" s="33">
        <v>24753314</v>
      </c>
      <c r="D8" s="33">
        <v>25533593</v>
      </c>
      <c r="E8" s="33">
        <f aca="true" t="shared" si="0" ref="E8:E29">D8-C8</f>
        <v>780279</v>
      </c>
      <c r="F8" s="124">
        <f aca="true" t="shared" si="1" ref="F8:F29">IF(ISBLANK(E8),"  ",IF(C8&gt;0,E8/C8,IF(E8&gt;0,1,0)))</f>
        <v>0.03152220345122273</v>
      </c>
    </row>
    <row r="9" spans="1:6" s="119" customFormat="1" ht="26.25">
      <c r="A9" s="123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124">
        <f t="shared" si="1"/>
        <v>0</v>
      </c>
    </row>
    <row r="10" spans="1:6" s="119" customFormat="1" ht="26.25">
      <c r="A10" s="125" t="s">
        <v>14</v>
      </c>
      <c r="B10" s="36">
        <v>1489438.02</v>
      </c>
      <c r="C10" s="36">
        <v>1669276</v>
      </c>
      <c r="D10" s="36">
        <v>1606965</v>
      </c>
      <c r="E10" s="36">
        <f t="shared" si="0"/>
        <v>-62311</v>
      </c>
      <c r="F10" s="124">
        <f t="shared" si="1"/>
        <v>-0.03732815903421603</v>
      </c>
    </row>
    <row r="11" spans="1:6" s="119" customFormat="1" ht="26.25">
      <c r="A11" s="126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124">
        <f t="shared" si="1"/>
        <v>0</v>
      </c>
    </row>
    <row r="12" spans="1:6" s="119" customFormat="1" ht="26.25">
      <c r="A12" s="127" t="s">
        <v>16</v>
      </c>
      <c r="B12" s="38">
        <v>1169538.02</v>
      </c>
      <c r="C12" s="38">
        <v>1349376</v>
      </c>
      <c r="D12" s="38">
        <v>1308685</v>
      </c>
      <c r="E12" s="36">
        <f t="shared" si="0"/>
        <v>-40691</v>
      </c>
      <c r="F12" s="124">
        <f t="shared" si="1"/>
        <v>-0.03015541998671979</v>
      </c>
    </row>
    <row r="13" spans="1:6" s="119" customFormat="1" ht="26.25">
      <c r="A13" s="127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124">
        <f t="shared" si="1"/>
        <v>0</v>
      </c>
    </row>
    <row r="14" spans="1:6" s="119" customFormat="1" ht="26.25">
      <c r="A14" s="127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124">
        <f t="shared" si="1"/>
        <v>0</v>
      </c>
    </row>
    <row r="15" spans="1:6" s="119" customFormat="1" ht="26.25">
      <c r="A15" s="127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124">
        <f t="shared" si="1"/>
        <v>0</v>
      </c>
    </row>
    <row r="16" spans="1:6" s="119" customFormat="1" ht="26.25">
      <c r="A16" s="127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124">
        <f t="shared" si="1"/>
        <v>0</v>
      </c>
    </row>
    <row r="17" spans="1:6" s="119" customFormat="1" ht="26.25">
      <c r="A17" s="127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124">
        <f t="shared" si="1"/>
        <v>0</v>
      </c>
    </row>
    <row r="18" spans="1:6" s="119" customFormat="1" ht="26.25">
      <c r="A18" s="127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124">
        <f t="shared" si="1"/>
        <v>0</v>
      </c>
    </row>
    <row r="19" spans="1:6" s="119" customFormat="1" ht="26.25">
      <c r="A19" s="127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124">
        <f t="shared" si="1"/>
        <v>0</v>
      </c>
    </row>
    <row r="20" spans="1:6" s="119" customFormat="1" ht="26.25">
      <c r="A20" s="127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124">
        <f t="shared" si="1"/>
        <v>0</v>
      </c>
    </row>
    <row r="21" spans="1:6" s="119" customFormat="1" ht="26.25">
      <c r="A21" s="127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124">
        <f t="shared" si="1"/>
        <v>0</v>
      </c>
    </row>
    <row r="22" spans="1:6" s="119" customFormat="1" ht="26.25">
      <c r="A22" s="127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124">
        <f t="shared" si="1"/>
        <v>0</v>
      </c>
    </row>
    <row r="23" spans="1:6" s="119" customFormat="1" ht="26.25">
      <c r="A23" s="88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124">
        <f t="shared" si="1"/>
        <v>0</v>
      </c>
    </row>
    <row r="24" spans="1:6" s="119" customFormat="1" ht="26.25">
      <c r="A24" s="88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124">
        <f t="shared" si="1"/>
        <v>0</v>
      </c>
    </row>
    <row r="25" spans="1:6" s="119" customFormat="1" ht="26.25">
      <c r="A25" s="88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124">
        <f t="shared" si="1"/>
        <v>0</v>
      </c>
    </row>
    <row r="26" spans="1:6" s="119" customFormat="1" ht="26.25">
      <c r="A26" s="88" t="s">
        <v>30</v>
      </c>
      <c r="B26" s="38">
        <v>319900</v>
      </c>
      <c r="C26" s="38">
        <v>319900</v>
      </c>
      <c r="D26" s="38">
        <v>298280</v>
      </c>
      <c r="E26" s="36">
        <f t="shared" si="0"/>
        <v>-21620</v>
      </c>
      <c r="F26" s="124">
        <f t="shared" si="1"/>
        <v>-0.06758361988121288</v>
      </c>
    </row>
    <row r="27" spans="1:6" s="119" customFormat="1" ht="26.25">
      <c r="A27" s="88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124">
        <f t="shared" si="1"/>
        <v>0</v>
      </c>
    </row>
    <row r="28" spans="1:6" s="119" customFormat="1" ht="26.25">
      <c r="A28" s="88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124">
        <f>IF(ISBLANK(E28),"  ",IF(C28&gt;0,E28/C28,IF(E28&gt;0,1,0)))</f>
        <v>0</v>
      </c>
    </row>
    <row r="29" spans="1:6" s="119" customFormat="1" ht="26.25">
      <c r="A29" s="88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124">
        <f t="shared" si="1"/>
        <v>0</v>
      </c>
    </row>
    <row r="30" spans="1:6" s="119" customFormat="1" ht="26.25">
      <c r="A30" s="126" t="s">
        <v>33</v>
      </c>
      <c r="B30" s="38"/>
      <c r="C30" s="38"/>
      <c r="D30" s="38"/>
      <c r="E30" s="38"/>
      <c r="F30" s="121"/>
    </row>
    <row r="31" spans="1:6" s="119" customFormat="1" ht="26.25">
      <c r="A31" s="126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124">
        <f>IF(ISBLANK(E31),"  ",IF(C31&gt;0,E31/C31,IF(E31&gt;0,1,0)))</f>
        <v>0</v>
      </c>
    </row>
    <row r="32" spans="1:6" s="119" customFormat="1" ht="26.25">
      <c r="A32" s="127" t="s">
        <v>35</v>
      </c>
      <c r="B32" s="38"/>
      <c r="C32" s="38"/>
      <c r="D32" s="38"/>
      <c r="E32" s="38"/>
      <c r="F32" s="121"/>
    </row>
    <row r="33" spans="1:6" s="119" customFormat="1" ht="26.25">
      <c r="A33" s="126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124">
        <f>IF(ISBLANK(E33),"  ",IF(C33&gt;0,E33/C33,IF(E33&gt;0,1,0)))</f>
        <v>0</v>
      </c>
    </row>
    <row r="34" spans="1:6" s="119" customFormat="1" ht="26.25">
      <c r="A34" s="127" t="s">
        <v>36</v>
      </c>
      <c r="B34" s="38"/>
      <c r="C34" s="38"/>
      <c r="D34" s="38"/>
      <c r="E34" s="36"/>
      <c r="F34" s="124" t="str">
        <f>IF(ISBLANK(E34),"  ",IF(C34&gt;0,E34/C34,IF(E34&gt;0,1,0)))</f>
        <v>  </v>
      </c>
    </row>
    <row r="35" spans="1:6" s="119" customFormat="1" ht="26.25">
      <c r="A35" s="88" t="s">
        <v>38</v>
      </c>
      <c r="B35" s="44">
        <v>26242752.02</v>
      </c>
      <c r="C35" s="44">
        <v>26422590</v>
      </c>
      <c r="D35" s="44">
        <v>27140558</v>
      </c>
      <c r="E35" s="44">
        <f>D35-C35</f>
        <v>717968</v>
      </c>
      <c r="F35" s="124">
        <f>IF(ISBLANK(E35),"  ",IF(C35&gt;0,E35/C35,IF(E35&gt;0,1,0)))</f>
        <v>0.027172506555943228</v>
      </c>
    </row>
    <row r="36" spans="1:6" s="119" customFormat="1" ht="26.25">
      <c r="A36" s="126" t="s">
        <v>39</v>
      </c>
      <c r="B36" s="38"/>
      <c r="C36" s="38"/>
      <c r="D36" s="38"/>
      <c r="E36" s="38"/>
      <c r="F36" s="121"/>
    </row>
    <row r="37" spans="1:6" s="119" customFormat="1" ht="26.25">
      <c r="A37" s="128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124">
        <f aca="true" t="shared" si="3" ref="F37:F42">IF(ISBLANK(E37),"  ",IF(C37&gt;0,E37/C37,IF(E37&gt;0,1,0)))</f>
        <v>0</v>
      </c>
    </row>
    <row r="38" spans="1:6" s="119" customFormat="1" ht="26.25">
      <c r="A38" s="129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124">
        <f t="shared" si="3"/>
        <v>0</v>
      </c>
    </row>
    <row r="39" spans="1:6" s="119" customFormat="1" ht="26.25">
      <c r="A39" s="129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124">
        <f t="shared" si="3"/>
        <v>0</v>
      </c>
    </row>
    <row r="40" spans="1:6" s="119" customFormat="1" ht="26.25">
      <c r="A40" s="129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124">
        <f t="shared" si="3"/>
        <v>0</v>
      </c>
    </row>
    <row r="41" spans="1:6" s="119" customFormat="1" ht="26.25">
      <c r="A41" s="130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124">
        <f t="shared" si="3"/>
        <v>0</v>
      </c>
    </row>
    <row r="42" spans="1:12" s="119" customFormat="1" ht="26.25">
      <c r="A42" s="126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124">
        <f t="shared" si="3"/>
        <v>0</v>
      </c>
      <c r="L42" s="119" t="s">
        <v>46</v>
      </c>
    </row>
    <row r="43" spans="1:6" s="119" customFormat="1" ht="26.25">
      <c r="A43" s="127" t="s">
        <v>46</v>
      </c>
      <c r="B43" s="38"/>
      <c r="C43" s="38"/>
      <c r="D43" s="38"/>
      <c r="E43" s="38"/>
      <c r="F43" s="121"/>
    </row>
    <row r="44" spans="1:6" s="119" customFormat="1" ht="26.25">
      <c r="A44" s="128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124">
        <f>IF(ISBLANK(E44),"  ",IF(C44&gt;0,E44/C44,IF(E44&gt;0,1,0)))</f>
        <v>0</v>
      </c>
    </row>
    <row r="45" spans="1:6" s="119" customFormat="1" ht="26.25">
      <c r="A45" s="127" t="s">
        <v>46</v>
      </c>
      <c r="B45" s="38"/>
      <c r="C45" s="38"/>
      <c r="D45" s="38"/>
      <c r="E45" s="38"/>
      <c r="F45" s="121"/>
    </row>
    <row r="46" spans="1:6" s="119" customFormat="1" ht="26.25">
      <c r="A46" s="128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124">
        <f>IF(ISBLANK(E46),"  ",IF(C46&gt;0,E46/C46,IF(E46&gt;0,1,0)))</f>
        <v>0</v>
      </c>
    </row>
    <row r="47" spans="1:6" s="119" customFormat="1" ht="26.25">
      <c r="A47" s="127" t="s">
        <v>46</v>
      </c>
      <c r="B47" s="38"/>
      <c r="C47" s="38"/>
      <c r="D47" s="38"/>
      <c r="E47" s="38"/>
      <c r="F47" s="121"/>
    </row>
    <row r="48" spans="1:7" s="119" customFormat="1" ht="26.25">
      <c r="A48" s="126" t="s">
        <v>49</v>
      </c>
      <c r="B48" s="50">
        <v>50167841.64</v>
      </c>
      <c r="C48" s="50">
        <v>54939518</v>
      </c>
      <c r="D48" s="50">
        <v>53369198</v>
      </c>
      <c r="E48" s="50">
        <f>D48-C48</f>
        <v>-1570320</v>
      </c>
      <c r="F48" s="124">
        <f>IF(ISBLANK(E48),"  ",IF(C48&gt;0,E48/C48,IF(E48&gt;0,1,0)))</f>
        <v>-0.02858270434771561</v>
      </c>
      <c r="G48" s="119" t="s">
        <v>46</v>
      </c>
    </row>
    <row r="49" spans="1:7" s="119" customFormat="1" ht="26.25">
      <c r="A49" s="127" t="s">
        <v>46</v>
      </c>
      <c r="B49" s="38"/>
      <c r="C49" s="38"/>
      <c r="D49" s="38"/>
      <c r="E49" s="38"/>
      <c r="F49" s="121"/>
      <c r="G49" s="119" t="s">
        <v>46</v>
      </c>
    </row>
    <row r="50" spans="1:7" s="119" customFormat="1" ht="26.25">
      <c r="A50" s="130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124">
        <f>IF(ISBLANK(E50),"  ",IF(C50&gt;0,E50/C50,IF(E50&gt;0,1,0)))</f>
        <v>0</v>
      </c>
      <c r="G50" s="119" t="s">
        <v>46</v>
      </c>
    </row>
    <row r="51" spans="1:7" s="119" customFormat="1" ht="26.25">
      <c r="A51" s="126"/>
      <c r="B51" s="29"/>
      <c r="C51" s="29"/>
      <c r="D51" s="29"/>
      <c r="E51" s="29"/>
      <c r="F51" s="131"/>
      <c r="G51" s="119" t="s">
        <v>46</v>
      </c>
    </row>
    <row r="52" spans="1:7" s="119" customFormat="1" ht="26.25">
      <c r="A52" s="126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124">
        <f>IF(ISBLANK(E52),"  ",IF(C52&gt;0,E52/C52,IF(E52&gt;0,1,0)))</f>
        <v>0</v>
      </c>
      <c r="G52" s="119" t="s">
        <v>46</v>
      </c>
    </row>
    <row r="53" spans="1:6" s="119" customFormat="1" ht="26.25">
      <c r="A53" s="127"/>
      <c r="B53" s="38"/>
      <c r="C53" s="38"/>
      <c r="D53" s="38"/>
      <c r="E53" s="38"/>
      <c r="F53" s="121"/>
    </row>
    <row r="54" spans="1:6" s="119" customFormat="1" ht="26.25">
      <c r="A54" s="132" t="s">
        <v>52</v>
      </c>
      <c r="B54" s="50">
        <v>76410593.66</v>
      </c>
      <c r="C54" s="50">
        <v>81362108</v>
      </c>
      <c r="D54" s="50">
        <v>80509756</v>
      </c>
      <c r="E54" s="50">
        <f>D54-C54</f>
        <v>-852352</v>
      </c>
      <c r="F54" s="124">
        <f>IF(ISBLANK(E54),"  ",IF(C54&gt;0,E54/C54,IF(E54&gt;0,1,0)))</f>
        <v>-0.010476031422391367</v>
      </c>
    </row>
    <row r="55" spans="1:6" s="119" customFormat="1" ht="26.25">
      <c r="A55" s="133"/>
      <c r="B55" s="38"/>
      <c r="C55" s="38"/>
      <c r="D55" s="38"/>
      <c r="E55" s="38"/>
      <c r="F55" s="121" t="s">
        <v>46</v>
      </c>
    </row>
    <row r="56" spans="1:6" s="119" customFormat="1" ht="26.25">
      <c r="A56" s="132"/>
      <c r="B56" s="29"/>
      <c r="C56" s="29"/>
      <c r="D56" s="29"/>
      <c r="E56" s="29"/>
      <c r="F56" s="122" t="s">
        <v>46</v>
      </c>
    </row>
    <row r="57" spans="1:6" s="119" customFormat="1" ht="26.25">
      <c r="A57" s="132" t="s">
        <v>53</v>
      </c>
      <c r="B57" s="29"/>
      <c r="C57" s="29"/>
      <c r="D57" s="29"/>
      <c r="E57" s="29"/>
      <c r="F57" s="122"/>
    </row>
    <row r="58" spans="1:6" s="119" customFormat="1" ht="26.25">
      <c r="A58" s="126" t="s">
        <v>54</v>
      </c>
      <c r="B58" s="29">
        <v>38822952.6</v>
      </c>
      <c r="C58" s="29">
        <v>40607959.199999996</v>
      </c>
      <c r="D58" s="29">
        <v>39445493.4</v>
      </c>
      <c r="E58" s="29">
        <f aca="true" t="shared" si="4" ref="E58:E71">D58-C58</f>
        <v>-1162465.799999997</v>
      </c>
      <c r="F58" s="124">
        <f aca="true" t="shared" si="5" ref="F58:F71">IF(ISBLANK(E58),"  ",IF(C58&gt;0,E58/C58,IF(E58&gt;0,1,0)))</f>
        <v>-0.028626550629512974</v>
      </c>
    </row>
    <row r="59" spans="1:6" s="119" customFormat="1" ht="26.25">
      <c r="A59" s="127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124">
        <f t="shared" si="5"/>
        <v>0</v>
      </c>
    </row>
    <row r="60" spans="1:6" s="119" customFormat="1" ht="26.25">
      <c r="A60" s="127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124">
        <f t="shared" si="5"/>
        <v>0</v>
      </c>
    </row>
    <row r="61" spans="1:6" s="119" customFormat="1" ht="26.25">
      <c r="A61" s="127" t="s">
        <v>57</v>
      </c>
      <c r="B61" s="38">
        <v>9000314.5</v>
      </c>
      <c r="C61" s="38">
        <v>9158541.9</v>
      </c>
      <c r="D61" s="38">
        <v>9401031</v>
      </c>
      <c r="E61" s="38">
        <f t="shared" si="4"/>
        <v>242489.09999999963</v>
      </c>
      <c r="F61" s="124">
        <f t="shared" si="5"/>
        <v>0.0264768237834889</v>
      </c>
    </row>
    <row r="62" spans="1:6" s="119" customFormat="1" ht="26.25">
      <c r="A62" s="127" t="s">
        <v>58</v>
      </c>
      <c r="B62" s="38">
        <v>4873764.15</v>
      </c>
      <c r="C62" s="38">
        <v>5034463.000000001</v>
      </c>
      <c r="D62" s="38">
        <v>5229909</v>
      </c>
      <c r="E62" s="38">
        <f t="shared" si="4"/>
        <v>195445.99999999907</v>
      </c>
      <c r="F62" s="124">
        <f t="shared" si="5"/>
        <v>0.03882161811498049</v>
      </c>
    </row>
    <row r="63" spans="1:6" s="119" customFormat="1" ht="26.25">
      <c r="A63" s="127" t="s">
        <v>59</v>
      </c>
      <c r="B63" s="38">
        <v>10312777.950000001</v>
      </c>
      <c r="C63" s="38">
        <v>12045119.149999999</v>
      </c>
      <c r="D63" s="38">
        <v>13204801.4</v>
      </c>
      <c r="E63" s="38">
        <f t="shared" si="4"/>
        <v>1159682.2500000019</v>
      </c>
      <c r="F63" s="124">
        <f t="shared" si="5"/>
        <v>0.09627818833157845</v>
      </c>
    </row>
    <row r="64" spans="1:6" s="119" customFormat="1" ht="26.25">
      <c r="A64" s="127" t="s">
        <v>60</v>
      </c>
      <c r="B64" s="38">
        <v>1695197</v>
      </c>
      <c r="C64" s="38">
        <v>1675000</v>
      </c>
      <c r="D64" s="38">
        <v>0</v>
      </c>
      <c r="E64" s="38">
        <f t="shared" si="4"/>
        <v>-1675000</v>
      </c>
      <c r="F64" s="124">
        <f t="shared" si="5"/>
        <v>-1</v>
      </c>
    </row>
    <row r="65" spans="1:6" s="119" customFormat="1" ht="26.25">
      <c r="A65" s="127" t="s">
        <v>61</v>
      </c>
      <c r="B65" s="38">
        <v>9254897.100000001</v>
      </c>
      <c r="C65" s="38">
        <v>10346759.399999999</v>
      </c>
      <c r="D65" s="38">
        <v>10781227</v>
      </c>
      <c r="E65" s="38">
        <f t="shared" si="4"/>
        <v>434467.6000000015</v>
      </c>
      <c r="F65" s="124">
        <f t="shared" si="5"/>
        <v>0.04199069324062968</v>
      </c>
    </row>
    <row r="66" spans="1:6" s="119" customFormat="1" ht="26.25">
      <c r="A66" s="133" t="s">
        <v>62</v>
      </c>
      <c r="B66" s="44">
        <v>73959903.30000001</v>
      </c>
      <c r="C66" s="44">
        <v>78867842.65</v>
      </c>
      <c r="D66" s="44">
        <v>78062461.8</v>
      </c>
      <c r="E66" s="44">
        <f t="shared" si="4"/>
        <v>-805380.8500000089</v>
      </c>
      <c r="F66" s="124">
        <f t="shared" si="5"/>
        <v>-0.010211777359932754</v>
      </c>
    </row>
    <row r="67" spans="1:6" s="119" customFormat="1" ht="26.25">
      <c r="A67" s="127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124">
        <f t="shared" si="5"/>
        <v>0</v>
      </c>
    </row>
    <row r="68" spans="1:6" s="119" customFormat="1" ht="26.25">
      <c r="A68" s="127" t="s">
        <v>64</v>
      </c>
      <c r="B68" s="38">
        <v>1413531</v>
      </c>
      <c r="C68" s="38">
        <v>1448531</v>
      </c>
      <c r="D68" s="38">
        <v>1423180</v>
      </c>
      <c r="E68" s="38">
        <f t="shared" si="4"/>
        <v>-25351</v>
      </c>
      <c r="F68" s="124">
        <f t="shared" si="5"/>
        <v>-0.01750117878043342</v>
      </c>
    </row>
    <row r="69" spans="1:6" s="119" customFormat="1" ht="26.25">
      <c r="A69" s="127" t="s">
        <v>65</v>
      </c>
      <c r="B69" s="38">
        <v>717259.61</v>
      </c>
      <c r="C69" s="38">
        <v>725834</v>
      </c>
      <c r="D69" s="38">
        <v>725834</v>
      </c>
      <c r="E69" s="38">
        <f t="shared" si="4"/>
        <v>0</v>
      </c>
      <c r="F69" s="124">
        <f t="shared" si="5"/>
        <v>0</v>
      </c>
    </row>
    <row r="70" spans="1:6" s="119" customFormat="1" ht="26.25">
      <c r="A70" s="127" t="s">
        <v>66</v>
      </c>
      <c r="B70" s="38">
        <v>319900</v>
      </c>
      <c r="C70" s="38">
        <v>319900</v>
      </c>
      <c r="D70" s="38">
        <v>298280</v>
      </c>
      <c r="E70" s="38">
        <f t="shared" si="4"/>
        <v>-21620</v>
      </c>
      <c r="F70" s="124">
        <f t="shared" si="5"/>
        <v>-0.06758361988121288</v>
      </c>
    </row>
    <row r="71" spans="1:6" s="119" customFormat="1" ht="26.25">
      <c r="A71" s="134" t="s">
        <v>67</v>
      </c>
      <c r="B71" s="61">
        <v>76410593.91000001</v>
      </c>
      <c r="C71" s="61">
        <v>81362107.65</v>
      </c>
      <c r="D71" s="61">
        <v>80509755.8</v>
      </c>
      <c r="E71" s="61">
        <f t="shared" si="4"/>
        <v>-852351.8500000089</v>
      </c>
      <c r="F71" s="124">
        <f t="shared" si="5"/>
        <v>-0.010476029623846757</v>
      </c>
    </row>
    <row r="72" spans="1:6" s="119" customFormat="1" ht="26.25">
      <c r="A72" s="132"/>
      <c r="B72" s="29"/>
      <c r="C72" s="29"/>
      <c r="D72" s="29"/>
      <c r="E72" s="29"/>
      <c r="F72" s="122"/>
    </row>
    <row r="73" spans="1:6" s="119" customFormat="1" ht="26.25">
      <c r="A73" s="132" t="s">
        <v>68</v>
      </c>
      <c r="B73" s="29"/>
      <c r="C73" s="29"/>
      <c r="D73" s="29"/>
      <c r="E73" s="29"/>
      <c r="F73" s="122"/>
    </row>
    <row r="74" spans="1:8" s="119" customFormat="1" ht="26.25">
      <c r="A74" s="126" t="s">
        <v>69</v>
      </c>
      <c r="B74" s="33">
        <v>43722260.4</v>
      </c>
      <c r="C74" s="33">
        <v>45560147.5</v>
      </c>
      <c r="D74" s="33">
        <v>45130798.8</v>
      </c>
      <c r="E74" s="29">
        <f aca="true" t="shared" si="6" ref="E74:E92">D74-C74</f>
        <v>-429348.700000003</v>
      </c>
      <c r="F74" s="124">
        <f aca="true" t="shared" si="7" ref="F74:F92">IF(ISBLANK(E74),"  ",IF(C74&gt;0,E74/C74,IF(E74&gt;0,1,0)))</f>
        <v>-0.009423777655680395</v>
      </c>
      <c r="H74" s="135"/>
    </row>
    <row r="75" spans="1:8" s="119" customFormat="1" ht="26.25">
      <c r="A75" s="127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124">
        <f t="shared" si="7"/>
        <v>0</v>
      </c>
      <c r="H75" s="135"/>
    </row>
    <row r="76" spans="1:8" s="119" customFormat="1" ht="26.25">
      <c r="A76" s="127" t="s">
        <v>71</v>
      </c>
      <c r="B76" s="29">
        <v>17525262.6</v>
      </c>
      <c r="C76" s="29">
        <v>18452302.3</v>
      </c>
      <c r="D76" s="29">
        <v>19364510</v>
      </c>
      <c r="E76" s="38">
        <f t="shared" si="6"/>
        <v>912207.6999999993</v>
      </c>
      <c r="F76" s="124">
        <f t="shared" si="7"/>
        <v>0.04943598284751704</v>
      </c>
      <c r="H76" s="135"/>
    </row>
    <row r="77" spans="1:8" s="119" customFormat="1" ht="26.25">
      <c r="A77" s="133" t="s">
        <v>72</v>
      </c>
      <c r="B77" s="61">
        <v>61247523</v>
      </c>
      <c r="C77" s="61">
        <v>64012449.8</v>
      </c>
      <c r="D77" s="61">
        <v>64495308.8</v>
      </c>
      <c r="E77" s="44">
        <f t="shared" si="6"/>
        <v>482859</v>
      </c>
      <c r="F77" s="124">
        <f t="shared" si="7"/>
        <v>0.007543204509570262</v>
      </c>
      <c r="H77" s="135"/>
    </row>
    <row r="78" spans="1:8" s="119" customFormat="1" ht="26.25">
      <c r="A78" s="127" t="s">
        <v>73</v>
      </c>
      <c r="B78" s="36">
        <v>70923</v>
      </c>
      <c r="C78" s="36">
        <v>85000.4</v>
      </c>
      <c r="D78" s="36">
        <v>102500</v>
      </c>
      <c r="E78" s="38">
        <f t="shared" si="6"/>
        <v>17499.600000000006</v>
      </c>
      <c r="F78" s="124">
        <f t="shared" si="7"/>
        <v>0.20587667822739666</v>
      </c>
      <c r="H78" s="135"/>
    </row>
    <row r="79" spans="1:8" s="119" customFormat="1" ht="26.25">
      <c r="A79" s="127" t="s">
        <v>74</v>
      </c>
      <c r="B79" s="33">
        <v>7987533</v>
      </c>
      <c r="C79" s="33">
        <v>8182481.8</v>
      </c>
      <c r="D79" s="33">
        <v>8648600</v>
      </c>
      <c r="E79" s="38">
        <f t="shared" si="6"/>
        <v>466118.2000000002</v>
      </c>
      <c r="F79" s="124">
        <f t="shared" si="7"/>
        <v>0.05696538182339742</v>
      </c>
      <c r="H79" s="135"/>
    </row>
    <row r="80" spans="1:8" s="119" customFormat="1" ht="26.25">
      <c r="A80" s="127" t="s">
        <v>75</v>
      </c>
      <c r="B80" s="29">
        <v>860802.7</v>
      </c>
      <c r="C80" s="29">
        <v>1164379.75</v>
      </c>
      <c r="D80" s="29">
        <v>1112836</v>
      </c>
      <c r="E80" s="38">
        <f t="shared" si="6"/>
        <v>-51543.75</v>
      </c>
      <c r="F80" s="124">
        <f t="shared" si="7"/>
        <v>-0.044267130203870346</v>
      </c>
      <c r="H80" s="135"/>
    </row>
    <row r="81" spans="1:8" s="119" customFormat="1" ht="26.25">
      <c r="A81" s="127" t="s">
        <v>76</v>
      </c>
      <c r="B81" s="61">
        <v>8919258.7</v>
      </c>
      <c r="C81" s="61">
        <v>9431861.95</v>
      </c>
      <c r="D81" s="61">
        <v>9863936</v>
      </c>
      <c r="E81" s="44">
        <f t="shared" si="6"/>
        <v>432074.05000000075</v>
      </c>
      <c r="F81" s="124">
        <f t="shared" si="7"/>
        <v>0.04581004814219114</v>
      </c>
      <c r="H81" s="135"/>
    </row>
    <row r="82" spans="1:8" s="119" customFormat="1" ht="26.25">
      <c r="A82" s="127" t="s">
        <v>77</v>
      </c>
      <c r="B82" s="29">
        <v>1415709.1</v>
      </c>
      <c r="C82" s="29">
        <v>1401737.9</v>
      </c>
      <c r="D82" s="29">
        <v>1448217</v>
      </c>
      <c r="E82" s="38">
        <f t="shared" si="6"/>
        <v>46479.10000000009</v>
      </c>
      <c r="F82" s="124">
        <f t="shared" si="7"/>
        <v>0.03315819597943388</v>
      </c>
      <c r="H82" s="135"/>
    </row>
    <row r="83" spans="1:8" s="119" customFormat="1" ht="26.25">
      <c r="A83" s="127" t="s">
        <v>78</v>
      </c>
      <c r="B83" s="38">
        <v>2807228.61</v>
      </c>
      <c r="C83" s="38">
        <v>4420734</v>
      </c>
      <c r="D83" s="38">
        <v>2624114</v>
      </c>
      <c r="E83" s="38">
        <f t="shared" si="6"/>
        <v>-1796620</v>
      </c>
      <c r="F83" s="124">
        <f t="shared" si="7"/>
        <v>-0.4064076237113565</v>
      </c>
      <c r="H83" s="135"/>
    </row>
    <row r="84" spans="1:8" s="119" customFormat="1" ht="26.25">
      <c r="A84" s="127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124">
        <f t="shared" si="7"/>
        <v>0</v>
      </c>
      <c r="H84" s="135"/>
    </row>
    <row r="85" spans="1:8" s="119" customFormat="1" ht="26.25">
      <c r="A85" s="127" t="s">
        <v>80</v>
      </c>
      <c r="B85" s="38">
        <v>1413531</v>
      </c>
      <c r="C85" s="38">
        <v>1448531</v>
      </c>
      <c r="D85" s="38">
        <v>1423180</v>
      </c>
      <c r="E85" s="38">
        <f t="shared" si="6"/>
        <v>-25351</v>
      </c>
      <c r="F85" s="124">
        <f t="shared" si="7"/>
        <v>-0.01750117878043342</v>
      </c>
      <c r="H85" s="135"/>
    </row>
    <row r="86" spans="1:8" s="119" customFormat="1" ht="26.25">
      <c r="A86" s="127" t="s">
        <v>81</v>
      </c>
      <c r="B86" s="44">
        <v>5636468.71</v>
      </c>
      <c r="C86" s="44">
        <v>7271002.9</v>
      </c>
      <c r="D86" s="44">
        <v>5495511</v>
      </c>
      <c r="E86" s="44">
        <f t="shared" si="6"/>
        <v>-1775491.9000000004</v>
      </c>
      <c r="F86" s="124">
        <f t="shared" si="7"/>
        <v>-0.24418803353798693</v>
      </c>
      <c r="H86" s="135"/>
    </row>
    <row r="87" spans="1:8" s="119" customFormat="1" ht="26.25">
      <c r="A87" s="127" t="s">
        <v>82</v>
      </c>
      <c r="B87" s="38">
        <v>368051.5</v>
      </c>
      <c r="C87" s="38">
        <v>371793</v>
      </c>
      <c r="D87" s="38">
        <v>405000</v>
      </c>
      <c r="E87" s="38">
        <f t="shared" si="6"/>
        <v>33207</v>
      </c>
      <c r="F87" s="124">
        <f t="shared" si="7"/>
        <v>0.08931582896934584</v>
      </c>
      <c r="H87" s="135"/>
    </row>
    <row r="88" spans="1:8" s="119" customFormat="1" ht="26.25">
      <c r="A88" s="127" t="s">
        <v>83</v>
      </c>
      <c r="B88" s="38">
        <v>198350</v>
      </c>
      <c r="C88" s="38">
        <v>225000</v>
      </c>
      <c r="D88" s="38">
        <v>210000</v>
      </c>
      <c r="E88" s="38">
        <f t="shared" si="6"/>
        <v>-15000</v>
      </c>
      <c r="F88" s="124">
        <f t="shared" si="7"/>
        <v>-0.06666666666666667</v>
      </c>
      <c r="H88" s="135"/>
    </row>
    <row r="89" spans="1:8" s="119" customFormat="1" ht="26.25">
      <c r="A89" s="129" t="s">
        <v>84</v>
      </c>
      <c r="B89" s="38">
        <v>40942</v>
      </c>
      <c r="C89" s="38">
        <v>50000</v>
      </c>
      <c r="D89" s="38">
        <v>40000</v>
      </c>
      <c r="E89" s="38">
        <f t="shared" si="6"/>
        <v>-10000</v>
      </c>
      <c r="F89" s="124">
        <f t="shared" si="7"/>
        <v>-0.2</v>
      </c>
      <c r="H89" s="135"/>
    </row>
    <row r="90" spans="1:8" s="119" customFormat="1" ht="26.25">
      <c r="A90" s="129" t="s">
        <v>85</v>
      </c>
      <c r="B90" s="61">
        <v>607343.5</v>
      </c>
      <c r="C90" s="61">
        <v>646793</v>
      </c>
      <c r="D90" s="61">
        <v>655000</v>
      </c>
      <c r="E90" s="61">
        <f t="shared" si="6"/>
        <v>8207</v>
      </c>
      <c r="F90" s="124">
        <f t="shared" si="7"/>
        <v>0.012688758227129854</v>
      </c>
      <c r="H90" s="135"/>
    </row>
    <row r="91" spans="1:8" s="119" customFormat="1" ht="26.25">
      <c r="A91" s="129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124">
        <f t="shared" si="7"/>
        <v>0</v>
      </c>
      <c r="G91" s="119" t="s">
        <v>46</v>
      </c>
      <c r="H91" s="135" t="s">
        <v>46</v>
      </c>
    </row>
    <row r="92" spans="1:6" s="119" customFormat="1" ht="27" thickBot="1">
      <c r="A92" s="136" t="s">
        <v>67</v>
      </c>
      <c r="B92" s="64">
        <v>76410593.91</v>
      </c>
      <c r="C92" s="64">
        <v>81362107.65</v>
      </c>
      <c r="D92" s="64">
        <v>80509755.8</v>
      </c>
      <c r="E92" s="64">
        <f t="shared" si="6"/>
        <v>-852351.8500000089</v>
      </c>
      <c r="F92" s="137">
        <f t="shared" si="7"/>
        <v>-0.010476029623846757</v>
      </c>
    </row>
    <row r="93" spans="1:8" s="142" customFormat="1" ht="31.5">
      <c r="A93" s="138"/>
      <c r="B93" s="17"/>
      <c r="C93" s="139"/>
      <c r="D93" s="139"/>
      <c r="E93" s="139"/>
      <c r="F93" s="140" t="s">
        <v>46</v>
      </c>
      <c r="G93" s="141"/>
      <c r="H93" s="141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78" customWidth="1"/>
    <col min="2" max="2" width="32.7109375" style="94" customWidth="1"/>
    <col min="3" max="5" width="32.8515625" style="79" customWidth="1"/>
    <col min="6" max="6" width="25.57421875" style="80" customWidth="1"/>
    <col min="7" max="7" width="30.28125" style="78" customWidth="1"/>
    <col min="8" max="8" width="25.140625" style="78" customWidth="1"/>
    <col min="9" max="16384" width="9.140625" style="78" customWidth="1"/>
  </cols>
  <sheetData>
    <row r="1" spans="1:8" s="72" customFormat="1" ht="46.5">
      <c r="A1" s="7" t="s">
        <v>0</v>
      </c>
      <c r="B1" s="8"/>
      <c r="C1" s="10" t="s">
        <v>1</v>
      </c>
      <c r="D1" s="1" t="s">
        <v>109</v>
      </c>
      <c r="E1" s="81"/>
      <c r="F1" s="81"/>
      <c r="H1" s="73"/>
    </row>
    <row r="2" spans="1:8" s="72" customFormat="1" ht="46.5">
      <c r="A2" s="7" t="s">
        <v>2</v>
      </c>
      <c r="B2" s="8"/>
      <c r="C2" s="8"/>
      <c r="D2" s="8"/>
      <c r="E2" s="8"/>
      <c r="F2" s="12"/>
      <c r="G2" s="73"/>
      <c r="H2" s="73"/>
    </row>
    <row r="3" spans="1:8" s="72" customFormat="1" ht="47.25" thickBot="1">
      <c r="A3" s="13" t="s">
        <v>3</v>
      </c>
      <c r="B3" s="14"/>
      <c r="C3" s="14"/>
      <c r="D3" s="14"/>
      <c r="E3" s="14"/>
      <c r="F3" s="15"/>
      <c r="G3" s="73"/>
      <c r="H3" s="73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74" customFormat="1" ht="26.25">
      <c r="A6" s="28" t="s">
        <v>10</v>
      </c>
      <c r="B6" s="29"/>
      <c r="C6" s="29"/>
      <c r="D6" s="29"/>
      <c r="E6" s="29"/>
      <c r="F6" s="30"/>
    </row>
    <row r="7" spans="1:6" s="74" customFormat="1" ht="26.25">
      <c r="A7" s="28" t="s">
        <v>11</v>
      </c>
      <c r="B7" s="29"/>
      <c r="C7" s="29"/>
      <c r="D7" s="29"/>
      <c r="E7" s="29"/>
      <c r="F7" s="31"/>
    </row>
    <row r="8" spans="1:6" s="74" customFormat="1" ht="26.25">
      <c r="A8" s="32" t="s">
        <v>12</v>
      </c>
      <c r="B8" s="33">
        <v>5103149</v>
      </c>
      <c r="C8" s="33">
        <v>5103149</v>
      </c>
      <c r="D8" s="33">
        <v>6056373</v>
      </c>
      <c r="E8" s="33">
        <f aca="true" t="shared" si="0" ref="E8:E29">D8-C8</f>
        <v>953224</v>
      </c>
      <c r="F8" s="34">
        <f aca="true" t="shared" si="1" ref="F8:F29">IF(ISBLANK(E8),"  ",IF(C8&gt;0,E8/C8,IF(E8&gt;0,1,0)))</f>
        <v>0.18679133217548616</v>
      </c>
    </row>
    <row r="9" spans="1:6" s="74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74" customFormat="1" ht="26.25">
      <c r="A10" s="35" t="s">
        <v>14</v>
      </c>
      <c r="B10" s="36">
        <v>248393.88</v>
      </c>
      <c r="C10" s="36">
        <v>286589</v>
      </c>
      <c r="D10" s="36">
        <v>347497</v>
      </c>
      <c r="E10" s="36">
        <f t="shared" si="0"/>
        <v>60908</v>
      </c>
      <c r="F10" s="34">
        <f t="shared" si="1"/>
        <v>0.21252734752555053</v>
      </c>
    </row>
    <row r="11" spans="1:6" s="74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74" customFormat="1" ht="26.25">
      <c r="A12" s="39" t="s">
        <v>16</v>
      </c>
      <c r="B12" s="38">
        <v>248393.88</v>
      </c>
      <c r="C12" s="38">
        <v>286589</v>
      </c>
      <c r="D12" s="38">
        <v>347497</v>
      </c>
      <c r="E12" s="36">
        <f t="shared" si="0"/>
        <v>60908</v>
      </c>
      <c r="F12" s="34">
        <f t="shared" si="1"/>
        <v>0.21252734752555053</v>
      </c>
    </row>
    <row r="13" spans="1:6" s="74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74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74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74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74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74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74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74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74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74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74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74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74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74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74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74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74" customFormat="1" ht="26.25">
      <c r="A30" s="41" t="s">
        <v>33</v>
      </c>
      <c r="B30" s="38"/>
      <c r="C30" s="38"/>
      <c r="D30" s="38"/>
      <c r="E30" s="38"/>
      <c r="F30" s="30"/>
    </row>
    <row r="31" spans="1:6" s="74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74" customFormat="1" ht="26.25">
      <c r="A32" s="42" t="s">
        <v>35</v>
      </c>
      <c r="B32" s="38"/>
      <c r="C32" s="38"/>
      <c r="D32" s="38"/>
      <c r="E32" s="38"/>
      <c r="F32" s="30"/>
    </row>
    <row r="33" spans="1:6" s="74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74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75" customFormat="1" ht="26.25">
      <c r="A35" s="43" t="s">
        <v>38</v>
      </c>
      <c r="B35" s="44">
        <v>5351542.88</v>
      </c>
      <c r="C35" s="44">
        <v>5389738</v>
      </c>
      <c r="D35" s="44">
        <v>6403870</v>
      </c>
      <c r="E35" s="44">
        <f>D35-C35</f>
        <v>1014132</v>
      </c>
      <c r="F35" s="45">
        <f>IF(ISBLANK(E35),"  ",IF(C35&gt;0,E35/C35,IF(E35&gt;0,1,0)))</f>
        <v>0.18815979552252818</v>
      </c>
    </row>
    <row r="36" spans="1:6" s="74" customFormat="1" ht="26.25">
      <c r="A36" s="41" t="s">
        <v>39</v>
      </c>
      <c r="B36" s="38"/>
      <c r="C36" s="38"/>
      <c r="D36" s="38"/>
      <c r="E36" s="38"/>
      <c r="F36" s="30"/>
    </row>
    <row r="37" spans="1:6" s="74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74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74" customFormat="1" ht="26.25">
      <c r="A39" s="48" t="s">
        <v>42</v>
      </c>
      <c r="B39" s="33">
        <v>615503.56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74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74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75" customFormat="1" ht="26.25">
      <c r="A42" s="41" t="s">
        <v>45</v>
      </c>
      <c r="B42" s="50">
        <v>615503.56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75" t="s">
        <v>46</v>
      </c>
    </row>
    <row r="43" spans="1:6" s="74" customFormat="1" ht="26.25">
      <c r="A43" s="39" t="s">
        <v>46</v>
      </c>
      <c r="B43" s="38"/>
      <c r="C43" s="38"/>
      <c r="D43" s="38"/>
      <c r="E43" s="38"/>
      <c r="F43" s="30"/>
    </row>
    <row r="44" spans="1:6" s="75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74" customFormat="1" ht="26.25">
      <c r="A45" s="39" t="s">
        <v>46</v>
      </c>
      <c r="B45" s="38"/>
      <c r="C45" s="38"/>
      <c r="D45" s="38"/>
      <c r="E45" s="38"/>
      <c r="F45" s="30"/>
    </row>
    <row r="46" spans="1:6" s="75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74" customFormat="1" ht="26.25">
      <c r="A47" s="39" t="s">
        <v>46</v>
      </c>
      <c r="B47" s="38"/>
      <c r="C47" s="38"/>
      <c r="D47" s="38"/>
      <c r="E47" s="38"/>
      <c r="F47" s="30"/>
    </row>
    <row r="48" spans="1:6" s="75" customFormat="1" ht="26.25">
      <c r="A48" s="41" t="s">
        <v>49</v>
      </c>
      <c r="B48" s="50">
        <v>3970709.02</v>
      </c>
      <c r="C48" s="50">
        <v>4096322.98</v>
      </c>
      <c r="D48" s="50">
        <v>4396322.99</v>
      </c>
      <c r="E48" s="50">
        <f>D48-C48</f>
        <v>300000.01000000024</v>
      </c>
      <c r="F48" s="45">
        <f>IF(ISBLANK(E48),"  ",IF(C48&gt;0,E48/C48,IF(E48&gt;0,1,0)))</f>
        <v>0.07323641506412666</v>
      </c>
    </row>
    <row r="49" spans="1:6" s="74" customFormat="1" ht="26.25">
      <c r="A49" s="39" t="s">
        <v>46</v>
      </c>
      <c r="B49" s="38"/>
      <c r="C49" s="38"/>
      <c r="D49" s="38"/>
      <c r="E49" s="38"/>
      <c r="F49" s="30"/>
    </row>
    <row r="50" spans="1:6" s="75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74" customFormat="1" ht="26.25">
      <c r="A51" s="41"/>
      <c r="B51" s="29"/>
      <c r="C51" s="29"/>
      <c r="D51" s="29"/>
      <c r="E51" s="29"/>
      <c r="F51" s="55"/>
    </row>
    <row r="52" spans="1:6" s="75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74" customFormat="1" ht="26.25">
      <c r="A53" s="39"/>
      <c r="B53" s="38"/>
      <c r="C53" s="38"/>
      <c r="D53" s="38"/>
      <c r="E53" s="38"/>
      <c r="F53" s="30"/>
    </row>
    <row r="54" spans="1:6" s="75" customFormat="1" ht="26.25">
      <c r="A54" s="56" t="s">
        <v>52</v>
      </c>
      <c r="B54" s="50">
        <v>8706748.34</v>
      </c>
      <c r="C54" s="50">
        <v>9486060.98</v>
      </c>
      <c r="D54" s="50">
        <v>10800192.99</v>
      </c>
      <c r="E54" s="50">
        <f>D54-C54</f>
        <v>1314132.0099999998</v>
      </c>
      <c r="F54" s="45">
        <f>IF(ISBLANK(E54),"  ",IF(C54&gt;0,E54/C54,IF(E54&gt;0,1,0)))</f>
        <v>0.13853294984827302</v>
      </c>
    </row>
    <row r="55" spans="1:6" s="74" customFormat="1" ht="26.25">
      <c r="A55" s="57"/>
      <c r="B55" s="38"/>
      <c r="C55" s="38"/>
      <c r="D55" s="38"/>
      <c r="E55" s="38"/>
      <c r="F55" s="30" t="s">
        <v>46</v>
      </c>
    </row>
    <row r="56" spans="1:6" s="74" customFormat="1" ht="26.25">
      <c r="A56" s="58"/>
      <c r="B56" s="29"/>
      <c r="C56" s="29"/>
      <c r="D56" s="29"/>
      <c r="E56" s="29"/>
      <c r="F56" s="31" t="s">
        <v>46</v>
      </c>
    </row>
    <row r="57" spans="1:6" s="74" customFormat="1" ht="26.25">
      <c r="A57" s="56" t="s">
        <v>53</v>
      </c>
      <c r="B57" s="29"/>
      <c r="C57" s="29"/>
      <c r="D57" s="29"/>
      <c r="E57" s="29"/>
      <c r="F57" s="31"/>
    </row>
    <row r="58" spans="1:6" s="74" customFormat="1" ht="26.25">
      <c r="A58" s="37" t="s">
        <v>54</v>
      </c>
      <c r="B58" s="29">
        <v>4113463.7199999997</v>
      </c>
      <c r="C58" s="29">
        <v>4296183.639893955</v>
      </c>
      <c r="D58" s="29">
        <v>4904088.939893953</v>
      </c>
      <c r="E58" s="29">
        <f aca="true" t="shared" si="4" ref="E58:E71">D58-C58</f>
        <v>607905.299999998</v>
      </c>
      <c r="F58" s="34">
        <f aca="true" t="shared" si="5" ref="F58:F71">IF(ISBLANK(E58),"  ",IF(C58&gt;0,E58/C58,IF(E58&gt;0,1,0)))</f>
        <v>0.14149890948679356</v>
      </c>
    </row>
    <row r="59" spans="1:6" s="74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74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74" customFormat="1" ht="26.25">
      <c r="A61" s="39" t="s">
        <v>57</v>
      </c>
      <c r="B61" s="38">
        <v>601562.8</v>
      </c>
      <c r="C61" s="38">
        <v>518470.7100000001</v>
      </c>
      <c r="D61" s="38">
        <v>847384.5243208316</v>
      </c>
      <c r="E61" s="38">
        <f t="shared" si="4"/>
        <v>328913.81432083156</v>
      </c>
      <c r="F61" s="34">
        <f t="shared" si="5"/>
        <v>0.6343922770889633</v>
      </c>
    </row>
    <row r="62" spans="1:6" s="74" customFormat="1" ht="26.25">
      <c r="A62" s="39" t="s">
        <v>58</v>
      </c>
      <c r="B62" s="38">
        <v>580857.75</v>
      </c>
      <c r="C62" s="38">
        <v>674966.0288056148</v>
      </c>
      <c r="D62" s="38">
        <v>887966.0288056146</v>
      </c>
      <c r="E62" s="38">
        <f t="shared" si="4"/>
        <v>212999.99999999977</v>
      </c>
      <c r="F62" s="34">
        <f t="shared" si="5"/>
        <v>0.315571437538736</v>
      </c>
    </row>
    <row r="63" spans="1:6" s="74" customFormat="1" ht="26.25">
      <c r="A63" s="39" t="s">
        <v>59</v>
      </c>
      <c r="B63" s="38">
        <v>2192294.95</v>
      </c>
      <c r="C63" s="38">
        <v>2388562.2955731223</v>
      </c>
      <c r="D63" s="38">
        <v>2828944.841861774</v>
      </c>
      <c r="E63" s="38">
        <f t="shared" si="4"/>
        <v>440382.5462886519</v>
      </c>
      <c r="F63" s="34">
        <f t="shared" si="5"/>
        <v>0.18437138822162666</v>
      </c>
    </row>
    <row r="64" spans="1:6" s="74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74" customFormat="1" ht="26.25">
      <c r="A65" s="39" t="s">
        <v>61</v>
      </c>
      <c r="B65" s="38">
        <v>220123.93</v>
      </c>
      <c r="C65" s="38">
        <v>511421.29805295187</v>
      </c>
      <c r="D65" s="38">
        <v>561421.2980529517</v>
      </c>
      <c r="E65" s="38">
        <f t="shared" si="4"/>
        <v>49999.999999999825</v>
      </c>
      <c r="F65" s="34">
        <f t="shared" si="5"/>
        <v>0.09776675353638263</v>
      </c>
    </row>
    <row r="66" spans="1:6" s="75" customFormat="1" ht="26.25">
      <c r="A66" s="59" t="s">
        <v>62</v>
      </c>
      <c r="B66" s="44">
        <v>7708303.149999999</v>
      </c>
      <c r="C66" s="44">
        <v>8389603.972325644</v>
      </c>
      <c r="D66" s="44">
        <v>10029805.632935125</v>
      </c>
      <c r="E66" s="44">
        <f t="shared" si="4"/>
        <v>1640201.6606094819</v>
      </c>
      <c r="F66" s="45">
        <f t="shared" si="5"/>
        <v>0.19550406264943268</v>
      </c>
    </row>
    <row r="67" spans="1:6" s="74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74" customFormat="1" ht="26.25">
      <c r="A68" s="39" t="s">
        <v>64</v>
      </c>
      <c r="B68" s="38">
        <v>526240.42</v>
      </c>
      <c r="C68" s="38">
        <v>420380</v>
      </c>
      <c r="D68" s="38">
        <v>511262</v>
      </c>
      <c r="E68" s="38">
        <f t="shared" si="4"/>
        <v>90882</v>
      </c>
      <c r="F68" s="34">
        <f t="shared" si="5"/>
        <v>0.21619011370664637</v>
      </c>
    </row>
    <row r="69" spans="1:6" s="74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74" customFormat="1" ht="26.25">
      <c r="A70" s="39" t="s">
        <v>66</v>
      </c>
      <c r="B70" s="38">
        <v>472204.5</v>
      </c>
      <c r="C70" s="38">
        <v>676077</v>
      </c>
      <c r="D70" s="38">
        <v>259125</v>
      </c>
      <c r="E70" s="38">
        <f t="shared" si="4"/>
        <v>-416952</v>
      </c>
      <c r="F70" s="34">
        <f t="shared" si="5"/>
        <v>-0.6167226514139662</v>
      </c>
    </row>
    <row r="71" spans="1:6" s="75" customFormat="1" ht="26.25">
      <c r="A71" s="60" t="s">
        <v>67</v>
      </c>
      <c r="B71" s="61">
        <v>8706748.07</v>
      </c>
      <c r="C71" s="61">
        <v>9486060.972325644</v>
      </c>
      <c r="D71" s="61">
        <v>10800192.632935125</v>
      </c>
      <c r="E71" s="61">
        <f t="shared" si="4"/>
        <v>1314131.6606094819</v>
      </c>
      <c r="F71" s="45">
        <f t="shared" si="5"/>
        <v>0.13853291312835656</v>
      </c>
    </row>
    <row r="72" spans="1:6" s="74" customFormat="1" ht="26.25">
      <c r="A72" s="58"/>
      <c r="B72" s="29"/>
      <c r="C72" s="29"/>
      <c r="D72" s="29"/>
      <c r="E72" s="29"/>
      <c r="F72" s="31"/>
    </row>
    <row r="73" spans="1:6" s="74" customFormat="1" ht="26.25">
      <c r="A73" s="56" t="s">
        <v>68</v>
      </c>
      <c r="B73" s="29"/>
      <c r="C73" s="29"/>
      <c r="D73" s="29"/>
      <c r="E73" s="29"/>
      <c r="F73" s="31"/>
    </row>
    <row r="74" spans="1:6" s="74" customFormat="1" ht="26.25">
      <c r="A74" s="37" t="s">
        <v>69</v>
      </c>
      <c r="B74" s="33">
        <v>4398954.35</v>
      </c>
      <c r="C74" s="33">
        <v>4634448.024310034</v>
      </c>
      <c r="D74" s="33">
        <v>5965884.1643100325</v>
      </c>
      <c r="E74" s="29">
        <f aca="true" t="shared" si="6" ref="E74:E92">D74-C74</f>
        <v>1331436.1399999987</v>
      </c>
      <c r="F74" s="34">
        <f aca="true" t="shared" si="7" ref="F74:F92">IF(ISBLANK(E74),"  ",IF(C74&gt;0,E74/C74,IF(E74&gt;0,1,0)))</f>
        <v>0.2872912012425083</v>
      </c>
    </row>
    <row r="75" spans="1:6" s="74" customFormat="1" ht="26.25">
      <c r="A75" s="39" t="s">
        <v>70</v>
      </c>
      <c r="B75" s="36">
        <v>315735.7</v>
      </c>
      <c r="C75" s="36">
        <v>768637.737396737</v>
      </c>
      <c r="D75" s="36">
        <v>768637.737396737</v>
      </c>
      <c r="E75" s="38">
        <f t="shared" si="6"/>
        <v>0</v>
      </c>
      <c r="F75" s="34">
        <f t="shared" si="7"/>
        <v>0</v>
      </c>
    </row>
    <row r="76" spans="1:6" s="74" customFormat="1" ht="26.25">
      <c r="A76" s="39" t="s">
        <v>71</v>
      </c>
      <c r="B76" s="29">
        <v>2393258.46</v>
      </c>
      <c r="C76" s="29">
        <v>2281570.361469831</v>
      </c>
      <c r="D76" s="29">
        <v>2665335.8820793144</v>
      </c>
      <c r="E76" s="38">
        <f t="shared" si="6"/>
        <v>383765.5206094836</v>
      </c>
      <c r="F76" s="34">
        <f t="shared" si="7"/>
        <v>0.16820236057162602</v>
      </c>
    </row>
    <row r="77" spans="1:6" s="75" customFormat="1" ht="26.25">
      <c r="A77" s="59" t="s">
        <v>72</v>
      </c>
      <c r="B77" s="61">
        <v>7107948.51</v>
      </c>
      <c r="C77" s="61">
        <v>7684656.123176601</v>
      </c>
      <c r="D77" s="61">
        <v>9399857.783786085</v>
      </c>
      <c r="E77" s="44">
        <f t="shared" si="6"/>
        <v>1715201.6606094837</v>
      </c>
      <c r="F77" s="45">
        <f t="shared" si="7"/>
        <v>0.22319823205055428</v>
      </c>
    </row>
    <row r="78" spans="1:6" s="74" customFormat="1" ht="26.25">
      <c r="A78" s="39" t="s">
        <v>73</v>
      </c>
      <c r="B78" s="36">
        <v>50864.61</v>
      </c>
      <c r="C78" s="36">
        <v>42426.45</v>
      </c>
      <c r="D78" s="36">
        <v>42426.45</v>
      </c>
      <c r="E78" s="38">
        <f t="shared" si="6"/>
        <v>0</v>
      </c>
      <c r="F78" s="34">
        <f t="shared" si="7"/>
        <v>0</v>
      </c>
    </row>
    <row r="79" spans="1:6" s="74" customFormat="1" ht="26.25">
      <c r="A79" s="39" t="s">
        <v>74</v>
      </c>
      <c r="B79" s="33">
        <v>377277.56</v>
      </c>
      <c r="C79" s="33">
        <v>498477.2768435169</v>
      </c>
      <c r="D79" s="33">
        <v>498477.2768435169</v>
      </c>
      <c r="E79" s="38">
        <f t="shared" si="6"/>
        <v>0</v>
      </c>
      <c r="F79" s="34">
        <f t="shared" si="7"/>
        <v>0</v>
      </c>
    </row>
    <row r="80" spans="1:6" s="74" customFormat="1" ht="26.25">
      <c r="A80" s="39" t="s">
        <v>75</v>
      </c>
      <c r="B80" s="29">
        <v>42381.13</v>
      </c>
      <c r="C80" s="29">
        <v>42725.093460983175</v>
      </c>
      <c r="D80" s="29">
        <v>42725.093460983175</v>
      </c>
      <c r="E80" s="38">
        <f t="shared" si="6"/>
        <v>0</v>
      </c>
      <c r="F80" s="34">
        <f t="shared" si="7"/>
        <v>0</v>
      </c>
    </row>
    <row r="81" spans="1:6" s="75" customFormat="1" ht="26.25">
      <c r="A81" s="42" t="s">
        <v>76</v>
      </c>
      <c r="B81" s="61">
        <v>470523.3</v>
      </c>
      <c r="C81" s="61">
        <v>583628.8203045</v>
      </c>
      <c r="D81" s="61">
        <v>583628.8203045</v>
      </c>
      <c r="E81" s="44">
        <f t="shared" si="6"/>
        <v>0</v>
      </c>
      <c r="F81" s="45">
        <f t="shared" si="7"/>
        <v>0</v>
      </c>
    </row>
    <row r="82" spans="1:6" s="74" customFormat="1" ht="26.25">
      <c r="A82" s="39" t="s">
        <v>77</v>
      </c>
      <c r="B82" s="29">
        <v>46495.84</v>
      </c>
      <c r="C82" s="29">
        <v>6062</v>
      </c>
      <c r="D82" s="29">
        <v>6062</v>
      </c>
      <c r="E82" s="38">
        <f t="shared" si="6"/>
        <v>0</v>
      </c>
      <c r="F82" s="34">
        <f t="shared" si="7"/>
        <v>0</v>
      </c>
    </row>
    <row r="83" spans="1:6" s="74" customFormat="1" ht="26.25">
      <c r="A83" s="39" t="s">
        <v>78</v>
      </c>
      <c r="B83" s="38">
        <v>472204.5</v>
      </c>
      <c r="C83" s="38">
        <v>696557</v>
      </c>
      <c r="D83" s="38">
        <v>279605</v>
      </c>
      <c r="E83" s="38">
        <f t="shared" si="6"/>
        <v>-416952</v>
      </c>
      <c r="F83" s="34">
        <f t="shared" si="7"/>
        <v>-0.5985899215713861</v>
      </c>
    </row>
    <row r="84" spans="1:6" s="74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74" customFormat="1" ht="26.25">
      <c r="A85" s="39" t="s">
        <v>80</v>
      </c>
      <c r="B85" s="38">
        <v>526240.42</v>
      </c>
      <c r="C85" s="38">
        <v>420380</v>
      </c>
      <c r="D85" s="38">
        <v>511262</v>
      </c>
      <c r="E85" s="38">
        <f t="shared" si="6"/>
        <v>90882</v>
      </c>
      <c r="F85" s="34">
        <f t="shared" si="7"/>
        <v>0.21619011370664637</v>
      </c>
    </row>
    <row r="86" spans="1:6" s="75" customFormat="1" ht="26.25">
      <c r="A86" s="42" t="s">
        <v>81</v>
      </c>
      <c r="B86" s="44">
        <v>1044940.76</v>
      </c>
      <c r="C86" s="44">
        <v>1122999</v>
      </c>
      <c r="D86" s="44">
        <v>796929</v>
      </c>
      <c r="E86" s="44">
        <f t="shared" si="6"/>
        <v>-326070</v>
      </c>
      <c r="F86" s="45">
        <f t="shared" si="7"/>
        <v>-0.2903564473343253</v>
      </c>
    </row>
    <row r="87" spans="1:6" s="74" customFormat="1" ht="26.25">
      <c r="A87" s="39" t="s">
        <v>82</v>
      </c>
      <c r="B87" s="38">
        <v>56326</v>
      </c>
      <c r="C87" s="38">
        <v>8500</v>
      </c>
      <c r="D87" s="38">
        <v>18277.028844541943</v>
      </c>
      <c r="E87" s="38">
        <f t="shared" si="6"/>
        <v>9777.028844541943</v>
      </c>
      <c r="F87" s="34">
        <f t="shared" si="7"/>
        <v>1.1502386875931698</v>
      </c>
    </row>
    <row r="88" spans="1:6" s="74" customFormat="1" ht="26.25">
      <c r="A88" s="39" t="s">
        <v>83</v>
      </c>
      <c r="B88" s="38">
        <v>0</v>
      </c>
      <c r="C88" s="38">
        <v>11277.028844541941</v>
      </c>
      <c r="D88" s="38">
        <v>1500</v>
      </c>
      <c r="E88" s="38">
        <f t="shared" si="6"/>
        <v>-9777.028844541941</v>
      </c>
      <c r="F88" s="34">
        <f t="shared" si="7"/>
        <v>-0.8669862407307757</v>
      </c>
    </row>
    <row r="89" spans="1:6" s="74" customFormat="1" ht="26.25">
      <c r="A89" s="48" t="s">
        <v>84</v>
      </c>
      <c r="B89" s="38">
        <v>27009.5</v>
      </c>
      <c r="C89" s="38">
        <v>75000</v>
      </c>
      <c r="D89" s="38">
        <v>0</v>
      </c>
      <c r="E89" s="38">
        <f t="shared" si="6"/>
        <v>-75000</v>
      </c>
      <c r="F89" s="34">
        <f t="shared" si="7"/>
        <v>-1</v>
      </c>
    </row>
    <row r="90" spans="1:6" s="75" customFormat="1" ht="26.25">
      <c r="A90" s="62" t="s">
        <v>85</v>
      </c>
      <c r="B90" s="61">
        <v>83335.5</v>
      </c>
      <c r="C90" s="61">
        <v>94777.02884454194</v>
      </c>
      <c r="D90" s="61">
        <v>19777.028844541943</v>
      </c>
      <c r="E90" s="61">
        <f t="shared" si="6"/>
        <v>-75000</v>
      </c>
      <c r="F90" s="45">
        <f t="shared" si="7"/>
        <v>-0.7913309893161853</v>
      </c>
    </row>
    <row r="91" spans="1:6" s="74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75" customFormat="1" ht="27" thickBot="1">
      <c r="A92" s="63" t="s">
        <v>67</v>
      </c>
      <c r="B92" s="64">
        <v>8706748.07</v>
      </c>
      <c r="C92" s="64">
        <v>9486060.972325642</v>
      </c>
      <c r="D92" s="64">
        <v>10800192.632935127</v>
      </c>
      <c r="E92" s="64">
        <f t="shared" si="6"/>
        <v>1314131.6606094856</v>
      </c>
      <c r="F92" s="65">
        <f t="shared" si="7"/>
        <v>0.13853291312835697</v>
      </c>
    </row>
    <row r="93" spans="1:8" s="77" customFormat="1" ht="31.5">
      <c r="A93" s="16"/>
      <c r="B93" s="17"/>
      <c r="C93" s="107"/>
      <c r="D93" s="107"/>
      <c r="E93" s="17"/>
      <c r="F93" s="18" t="s">
        <v>46</v>
      </c>
      <c r="G93" s="76"/>
      <c r="H93" s="76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10" t="s">
        <v>1</v>
      </c>
      <c r="E1" s="1" t="s">
        <v>111</v>
      </c>
      <c r="F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3115637</v>
      </c>
      <c r="C8" s="33">
        <v>3115637</v>
      </c>
      <c r="D8" s="33">
        <v>3406738</v>
      </c>
      <c r="E8" s="33">
        <f aca="true" t="shared" si="0" ref="E8:E29">D8-C8</f>
        <v>291101</v>
      </c>
      <c r="F8" s="34">
        <f aca="true" t="shared" si="1" ref="F8:F29">IF(ISBLANK(E8),"  ",IF(C8&gt;0,E8/C8,IF(E8&gt;0,1,0)))</f>
        <v>0.09343225799411163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120178</v>
      </c>
      <c r="C10" s="36">
        <v>138658</v>
      </c>
      <c r="D10" s="36">
        <v>134477</v>
      </c>
      <c r="E10" s="36">
        <f t="shared" si="0"/>
        <v>-4181</v>
      </c>
      <c r="F10" s="34">
        <f t="shared" si="1"/>
        <v>-0.030153326890622972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120178</v>
      </c>
      <c r="C12" s="38">
        <v>138658</v>
      </c>
      <c r="D12" s="38">
        <v>134477</v>
      </c>
      <c r="E12" s="36">
        <f t="shared" si="0"/>
        <v>-4181</v>
      </c>
      <c r="F12" s="34">
        <f t="shared" si="1"/>
        <v>-0.030153326890622972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3235815</v>
      </c>
      <c r="C35" s="44">
        <v>3254295</v>
      </c>
      <c r="D35" s="44">
        <v>3541215</v>
      </c>
      <c r="E35" s="44">
        <f>D35-C35</f>
        <v>286920</v>
      </c>
      <c r="F35" s="45">
        <f>IF(ISBLANK(E35),"  ",IF(C35&gt;0,E35/C35,IF(E35&gt;0,1,0)))</f>
        <v>0.0881665614211373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638194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638194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5915097</v>
      </c>
      <c r="C48" s="50">
        <v>5883195</v>
      </c>
      <c r="D48" s="50">
        <v>6033195</v>
      </c>
      <c r="E48" s="50">
        <f>D48-C48</f>
        <v>150000</v>
      </c>
      <c r="F48" s="45">
        <f>IF(ISBLANK(E48),"  ",IF(C48&gt;0,E48/C48,IF(E48&gt;0,1,0)))</f>
        <v>0.025496350197469233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8512718</v>
      </c>
      <c r="C54" s="50">
        <v>9137490</v>
      </c>
      <c r="D54" s="50">
        <v>9574410</v>
      </c>
      <c r="E54" s="50">
        <f>D54-C54</f>
        <v>436920</v>
      </c>
      <c r="F54" s="45">
        <f>IF(ISBLANK(E54),"  ",IF(C54&gt;0,E54/C54,IF(E54&gt;0,1,0)))</f>
        <v>0.04781619460048657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4416790</v>
      </c>
      <c r="C58" s="29">
        <v>4909537</v>
      </c>
      <c r="D58" s="29">
        <v>4950580</v>
      </c>
      <c r="E58" s="29">
        <f aca="true" t="shared" si="4" ref="E58:E71">D58-C58</f>
        <v>41043</v>
      </c>
      <c r="F58" s="34">
        <f aca="true" t="shared" si="5" ref="F58:F71">IF(ISBLANK(E58),"  ",IF(C58&gt;0,E58/C58,IF(E58&gt;0,1,0)))</f>
        <v>0.00835985144831376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883037</v>
      </c>
      <c r="C61" s="38">
        <v>821179</v>
      </c>
      <c r="D61" s="38">
        <v>1199874</v>
      </c>
      <c r="E61" s="38">
        <f t="shared" si="4"/>
        <v>378695</v>
      </c>
      <c r="F61" s="34">
        <f t="shared" si="5"/>
        <v>0.46116011247243294</v>
      </c>
    </row>
    <row r="62" spans="1:6" s="100" customFormat="1" ht="26.25">
      <c r="A62" s="39" t="s">
        <v>58</v>
      </c>
      <c r="B62" s="38">
        <v>681628</v>
      </c>
      <c r="C62" s="38">
        <v>687821</v>
      </c>
      <c r="D62" s="38">
        <v>744679</v>
      </c>
      <c r="E62" s="38">
        <f t="shared" si="4"/>
        <v>56858</v>
      </c>
      <c r="F62" s="34">
        <f t="shared" si="5"/>
        <v>0.08266394890531112</v>
      </c>
    </row>
    <row r="63" spans="1:6" s="100" customFormat="1" ht="26.25">
      <c r="A63" s="39" t="s">
        <v>59</v>
      </c>
      <c r="B63" s="38">
        <v>1571885</v>
      </c>
      <c r="C63" s="38">
        <v>1667031</v>
      </c>
      <c r="D63" s="38">
        <v>1789480</v>
      </c>
      <c r="E63" s="38">
        <f t="shared" si="4"/>
        <v>122449</v>
      </c>
      <c r="F63" s="34">
        <f t="shared" si="5"/>
        <v>0.07345334309919851</v>
      </c>
    </row>
    <row r="64" spans="1:6" s="100" customFormat="1" ht="26.25">
      <c r="A64" s="39" t="s">
        <v>60</v>
      </c>
      <c r="B64" s="38">
        <v>149754</v>
      </c>
      <c r="C64" s="38">
        <v>150000</v>
      </c>
      <c r="D64" s="38">
        <v>0</v>
      </c>
      <c r="E64" s="38">
        <f t="shared" si="4"/>
        <v>-150000</v>
      </c>
      <c r="F64" s="34">
        <f t="shared" si="5"/>
        <v>-1</v>
      </c>
    </row>
    <row r="65" spans="1:6" s="100" customFormat="1" ht="26.25">
      <c r="A65" s="39" t="s">
        <v>61</v>
      </c>
      <c r="B65" s="38">
        <v>459205</v>
      </c>
      <c r="C65" s="38">
        <v>550894</v>
      </c>
      <c r="D65" s="38">
        <v>586379</v>
      </c>
      <c r="E65" s="38">
        <f t="shared" si="4"/>
        <v>35485</v>
      </c>
      <c r="F65" s="34">
        <f t="shared" si="5"/>
        <v>0.06441348063329788</v>
      </c>
    </row>
    <row r="66" spans="1:6" s="102" customFormat="1" ht="26.25">
      <c r="A66" s="59" t="s">
        <v>62</v>
      </c>
      <c r="B66" s="44">
        <v>8162299</v>
      </c>
      <c r="C66" s="44">
        <v>8786462</v>
      </c>
      <c r="D66" s="44">
        <v>9270992</v>
      </c>
      <c r="E66" s="44">
        <f t="shared" si="4"/>
        <v>484530</v>
      </c>
      <c r="F66" s="45">
        <f t="shared" si="5"/>
        <v>0.055145062938871184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350419</v>
      </c>
      <c r="C68" s="38">
        <v>351028</v>
      </c>
      <c r="D68" s="38">
        <v>303418</v>
      </c>
      <c r="E68" s="38">
        <f t="shared" si="4"/>
        <v>-47610</v>
      </c>
      <c r="F68" s="34">
        <f t="shared" si="5"/>
        <v>-0.13563020613740215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8512718</v>
      </c>
      <c r="C71" s="61">
        <v>9137490</v>
      </c>
      <c r="D71" s="61">
        <v>9574410</v>
      </c>
      <c r="E71" s="61">
        <f t="shared" si="4"/>
        <v>436920</v>
      </c>
      <c r="F71" s="45">
        <f t="shared" si="5"/>
        <v>0.04781619460048657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4803300</v>
      </c>
      <c r="C74" s="33">
        <v>5000653</v>
      </c>
      <c r="D74" s="33">
        <v>5204451</v>
      </c>
      <c r="E74" s="29">
        <f aca="true" t="shared" si="6" ref="E74:E92">D74-C74</f>
        <v>203798</v>
      </c>
      <c r="F74" s="34">
        <f aca="true" t="shared" si="7" ref="F74:F92">IF(ISBLANK(E74),"  ",IF(C74&gt;0,E74/C74,IF(E74&gt;0,1,0)))</f>
        <v>0.040754277491359625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1970766</v>
      </c>
      <c r="C76" s="29">
        <v>1997652</v>
      </c>
      <c r="D76" s="29">
        <v>2285776</v>
      </c>
      <c r="E76" s="38">
        <f t="shared" si="6"/>
        <v>288124</v>
      </c>
      <c r="F76" s="34">
        <f t="shared" si="7"/>
        <v>0.14423132757857726</v>
      </c>
    </row>
    <row r="77" spans="1:6" s="102" customFormat="1" ht="26.25">
      <c r="A77" s="59" t="s">
        <v>72</v>
      </c>
      <c r="B77" s="61">
        <v>6774066</v>
      </c>
      <c r="C77" s="61">
        <v>6998305</v>
      </c>
      <c r="D77" s="61">
        <v>7490227</v>
      </c>
      <c r="E77" s="44">
        <f t="shared" si="6"/>
        <v>491922</v>
      </c>
      <c r="F77" s="45">
        <f t="shared" si="7"/>
        <v>0.07029159203550002</v>
      </c>
    </row>
    <row r="78" spans="1:6" s="100" customFormat="1" ht="26.25">
      <c r="A78" s="39" t="s">
        <v>73</v>
      </c>
      <c r="B78" s="36">
        <v>15784</v>
      </c>
      <c r="C78" s="36">
        <v>42046</v>
      </c>
      <c r="D78" s="36">
        <v>73191</v>
      </c>
      <c r="E78" s="38">
        <f t="shared" si="6"/>
        <v>31145</v>
      </c>
      <c r="F78" s="34">
        <f t="shared" si="7"/>
        <v>0.7407363363934738</v>
      </c>
    </row>
    <row r="79" spans="1:6" s="100" customFormat="1" ht="26.25">
      <c r="A79" s="39" t="s">
        <v>74</v>
      </c>
      <c r="B79" s="33">
        <v>846731</v>
      </c>
      <c r="C79" s="33">
        <v>964947</v>
      </c>
      <c r="D79" s="33">
        <v>901396</v>
      </c>
      <c r="E79" s="38">
        <f t="shared" si="6"/>
        <v>-63551</v>
      </c>
      <c r="F79" s="34">
        <f t="shared" si="7"/>
        <v>-0.06585957570726682</v>
      </c>
    </row>
    <row r="80" spans="1:6" s="100" customFormat="1" ht="26.25">
      <c r="A80" s="39" t="s">
        <v>75</v>
      </c>
      <c r="B80" s="29">
        <v>42648</v>
      </c>
      <c r="C80" s="29">
        <v>72204</v>
      </c>
      <c r="D80" s="29">
        <v>78367</v>
      </c>
      <c r="E80" s="38">
        <f t="shared" si="6"/>
        <v>6163</v>
      </c>
      <c r="F80" s="34">
        <f t="shared" si="7"/>
        <v>0.08535538197329788</v>
      </c>
    </row>
    <row r="81" spans="1:6" s="102" customFormat="1" ht="26.25">
      <c r="A81" s="42" t="s">
        <v>76</v>
      </c>
      <c r="B81" s="61">
        <v>905163</v>
      </c>
      <c r="C81" s="61">
        <v>1079197</v>
      </c>
      <c r="D81" s="61">
        <v>1052954</v>
      </c>
      <c r="E81" s="44">
        <f t="shared" si="6"/>
        <v>-26243</v>
      </c>
      <c r="F81" s="45">
        <f t="shared" si="7"/>
        <v>-0.02431715432863509</v>
      </c>
    </row>
    <row r="82" spans="1:6" s="100" customFormat="1" ht="26.25">
      <c r="A82" s="39" t="s">
        <v>77</v>
      </c>
      <c r="B82" s="29">
        <v>91311</v>
      </c>
      <c r="C82" s="29">
        <v>309265</v>
      </c>
      <c r="D82" s="29">
        <v>435040</v>
      </c>
      <c r="E82" s="38">
        <f t="shared" si="6"/>
        <v>125775</v>
      </c>
      <c r="F82" s="34">
        <f t="shared" si="7"/>
        <v>0.40669005545406045</v>
      </c>
    </row>
    <row r="83" spans="1:6" s="100" customFormat="1" ht="26.25">
      <c r="A83" s="39" t="s">
        <v>78</v>
      </c>
      <c r="B83" s="38">
        <v>156209</v>
      </c>
      <c r="C83" s="38">
        <v>176520</v>
      </c>
      <c r="D83" s="38">
        <v>26695</v>
      </c>
      <c r="E83" s="38">
        <f t="shared" si="6"/>
        <v>-149825</v>
      </c>
      <c r="F83" s="34">
        <f t="shared" si="7"/>
        <v>-0.8487706775436211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404920</v>
      </c>
      <c r="C85" s="38">
        <v>351028</v>
      </c>
      <c r="D85" s="38">
        <v>346618</v>
      </c>
      <c r="E85" s="38">
        <f t="shared" si="6"/>
        <v>-4410</v>
      </c>
      <c r="F85" s="34">
        <f t="shared" si="7"/>
        <v>-0.01256310037945691</v>
      </c>
    </row>
    <row r="86" spans="1:6" s="102" customFormat="1" ht="26.25">
      <c r="A86" s="42" t="s">
        <v>81</v>
      </c>
      <c r="B86" s="44">
        <v>652440</v>
      </c>
      <c r="C86" s="44">
        <v>836813</v>
      </c>
      <c r="D86" s="44">
        <v>808353</v>
      </c>
      <c r="E86" s="44">
        <f t="shared" si="6"/>
        <v>-28460</v>
      </c>
      <c r="F86" s="45">
        <f t="shared" si="7"/>
        <v>-0.034009987894547525</v>
      </c>
    </row>
    <row r="87" spans="1:6" s="100" customFormat="1" ht="26.25">
      <c r="A87" s="39" t="s">
        <v>82</v>
      </c>
      <c r="B87" s="38">
        <v>159981</v>
      </c>
      <c r="C87" s="38">
        <v>214655</v>
      </c>
      <c r="D87" s="38">
        <v>200326</v>
      </c>
      <c r="E87" s="38">
        <f t="shared" si="6"/>
        <v>-14329</v>
      </c>
      <c r="F87" s="34">
        <f t="shared" si="7"/>
        <v>-0.06675362791456058</v>
      </c>
    </row>
    <row r="88" spans="1:6" s="100" customFormat="1" ht="26.25">
      <c r="A88" s="39" t="s">
        <v>83</v>
      </c>
      <c r="B88" s="38">
        <v>21068</v>
      </c>
      <c r="C88" s="38">
        <v>8520</v>
      </c>
      <c r="D88" s="38">
        <v>22550</v>
      </c>
      <c r="E88" s="38">
        <f t="shared" si="6"/>
        <v>14030</v>
      </c>
      <c r="F88" s="34">
        <f t="shared" si="7"/>
        <v>1.6467136150234742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181049</v>
      </c>
      <c r="C90" s="61">
        <v>223175</v>
      </c>
      <c r="D90" s="61">
        <v>222876</v>
      </c>
      <c r="E90" s="61">
        <f t="shared" si="6"/>
        <v>-299</v>
      </c>
      <c r="F90" s="45">
        <f t="shared" si="7"/>
        <v>-0.0013397557970202755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8512718</v>
      </c>
      <c r="C92" s="64">
        <v>9137490</v>
      </c>
      <c r="D92" s="64">
        <v>9574410</v>
      </c>
      <c r="E92" s="64">
        <f t="shared" si="6"/>
        <v>436920</v>
      </c>
      <c r="F92" s="65">
        <f t="shared" si="7"/>
        <v>0.04781619460048657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" t="s">
        <v>112</v>
      </c>
      <c r="E1" s="98"/>
      <c r="F1" s="96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7514939</v>
      </c>
      <c r="C8" s="33">
        <v>7514939</v>
      </c>
      <c r="D8" s="33">
        <v>7344573</v>
      </c>
      <c r="E8" s="33">
        <f aca="true" t="shared" si="0" ref="E8:E29">D8-C8</f>
        <v>-170366</v>
      </c>
      <c r="F8" s="34">
        <f aca="true" t="shared" si="1" ref="F8:F29">IF(ISBLANK(E8),"  ",IF(C8&gt;0,E8/C8,IF(E8&gt;0,1,0)))</f>
        <v>-0.02267031043099618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369706</v>
      </c>
      <c r="C10" s="36">
        <v>426555</v>
      </c>
      <c r="D10" s="36">
        <v>413692</v>
      </c>
      <c r="E10" s="36">
        <f t="shared" si="0"/>
        <v>-12863</v>
      </c>
      <c r="F10" s="34">
        <f t="shared" si="1"/>
        <v>-0.030155548522464864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369706</v>
      </c>
      <c r="C12" s="38">
        <v>426555</v>
      </c>
      <c r="D12" s="38">
        <v>413692</v>
      </c>
      <c r="E12" s="36">
        <f t="shared" si="0"/>
        <v>-12863</v>
      </c>
      <c r="F12" s="34">
        <f t="shared" si="1"/>
        <v>-0.030155548522464864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7884645</v>
      </c>
      <c r="C35" s="44">
        <v>7941494</v>
      </c>
      <c r="D35" s="44">
        <v>7758265</v>
      </c>
      <c r="E35" s="44">
        <f>D35-C35</f>
        <v>-183229</v>
      </c>
      <c r="F35" s="45">
        <f>IF(ISBLANK(E35),"  ",IF(C35&gt;0,E35/C35,IF(E35&gt;0,1,0)))</f>
        <v>-0.02307235892893705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492364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492364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9348865</v>
      </c>
      <c r="C48" s="50">
        <v>10370751</v>
      </c>
      <c r="D48" s="50">
        <v>9620751</v>
      </c>
      <c r="E48" s="50">
        <f>D48-C48</f>
        <v>-750000</v>
      </c>
      <c r="F48" s="45">
        <f>IF(ISBLANK(E48),"  ",IF(C48&gt;0,E48/C48,IF(E48&gt;0,1,0)))</f>
        <v>-0.07231877421413357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16741146</v>
      </c>
      <c r="C54" s="50">
        <v>18312245</v>
      </c>
      <c r="D54" s="50">
        <v>17379016</v>
      </c>
      <c r="E54" s="50">
        <f>D54-C54</f>
        <v>-933229</v>
      </c>
      <c r="F54" s="45">
        <f>IF(ISBLANK(E54),"  ",IF(C54&gt;0,E54/C54,IF(E54&gt;0,1,0)))</f>
        <v>-0.05096202022198808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7313452</v>
      </c>
      <c r="C58" s="29">
        <v>7313452</v>
      </c>
      <c r="D58" s="29">
        <v>7321750</v>
      </c>
      <c r="E58" s="29">
        <f aca="true" t="shared" si="4" ref="E58:E71">D58-C58</f>
        <v>8298</v>
      </c>
      <c r="F58" s="34">
        <f aca="true" t="shared" si="5" ref="F58:F71">IF(ISBLANK(E58),"  ",IF(C58&gt;0,E58/C58,IF(E58&gt;0,1,0)))</f>
        <v>0.001134621516624434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685758</v>
      </c>
      <c r="C61" s="38">
        <v>685758</v>
      </c>
      <c r="D61" s="38">
        <v>690100</v>
      </c>
      <c r="E61" s="38">
        <f t="shared" si="4"/>
        <v>4342</v>
      </c>
      <c r="F61" s="34">
        <f t="shared" si="5"/>
        <v>0.006331679688753175</v>
      </c>
    </row>
    <row r="62" spans="1:6" s="100" customFormat="1" ht="26.25">
      <c r="A62" s="39" t="s">
        <v>58</v>
      </c>
      <c r="B62" s="38">
        <v>1675563</v>
      </c>
      <c r="C62" s="38">
        <v>1675563</v>
      </c>
      <c r="D62" s="38">
        <v>1706000</v>
      </c>
      <c r="E62" s="38">
        <f t="shared" si="4"/>
        <v>30437</v>
      </c>
      <c r="F62" s="34">
        <f t="shared" si="5"/>
        <v>0.018165237594766653</v>
      </c>
    </row>
    <row r="63" spans="1:7" s="100" customFormat="1" ht="26.25">
      <c r="A63" s="39" t="s">
        <v>59</v>
      </c>
      <c r="B63" s="38">
        <v>4593041</v>
      </c>
      <c r="C63" s="38">
        <v>6137712</v>
      </c>
      <c r="D63" s="38">
        <v>5100170</v>
      </c>
      <c r="E63" s="38">
        <f t="shared" si="4"/>
        <v>-1037542</v>
      </c>
      <c r="F63" s="34">
        <f t="shared" si="5"/>
        <v>-0.1690437739665856</v>
      </c>
      <c r="G63" s="86"/>
    </row>
    <row r="64" spans="1:6" s="100" customFormat="1" ht="26.25">
      <c r="A64" s="39" t="s">
        <v>60</v>
      </c>
      <c r="B64" s="38">
        <v>17068</v>
      </c>
      <c r="C64" s="38">
        <v>43496</v>
      </c>
      <c r="D64" s="38">
        <v>43496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1999525</v>
      </c>
      <c r="C65" s="38">
        <v>1999525</v>
      </c>
      <c r="D65" s="38">
        <v>2057500</v>
      </c>
      <c r="E65" s="38">
        <f t="shared" si="4"/>
        <v>57975</v>
      </c>
      <c r="F65" s="34">
        <f t="shared" si="5"/>
        <v>0.028994386166714594</v>
      </c>
    </row>
    <row r="66" spans="1:6" s="102" customFormat="1" ht="26.25">
      <c r="A66" s="59" t="s">
        <v>62</v>
      </c>
      <c r="B66" s="44">
        <v>16284407</v>
      </c>
      <c r="C66" s="44">
        <v>17855506</v>
      </c>
      <c r="D66" s="44">
        <v>16919016</v>
      </c>
      <c r="E66" s="44">
        <f t="shared" si="4"/>
        <v>-936490</v>
      </c>
      <c r="F66" s="45">
        <f t="shared" si="5"/>
        <v>-0.05244824761616949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456739</v>
      </c>
      <c r="C68" s="38">
        <v>456739</v>
      </c>
      <c r="D68" s="38">
        <v>460000</v>
      </c>
      <c r="E68" s="38">
        <f t="shared" si="4"/>
        <v>3261</v>
      </c>
      <c r="F68" s="34">
        <f t="shared" si="5"/>
        <v>0.007139745018489772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16741146</v>
      </c>
      <c r="C71" s="61">
        <v>18312245</v>
      </c>
      <c r="D71" s="61">
        <v>17379016</v>
      </c>
      <c r="E71" s="61">
        <f t="shared" si="4"/>
        <v>-933229</v>
      </c>
      <c r="F71" s="45">
        <f t="shared" si="5"/>
        <v>-0.05096202022198808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9505484</v>
      </c>
      <c r="C74" s="33">
        <v>9505484</v>
      </c>
      <c r="D74" s="33">
        <v>9636100</v>
      </c>
      <c r="E74" s="29">
        <f aca="true" t="shared" si="6" ref="E74:E92">D74-C74</f>
        <v>130616</v>
      </c>
      <c r="F74" s="34">
        <f aca="true" t="shared" si="7" ref="F74:F92">IF(ISBLANK(E74),"  ",IF(C74&gt;0,E74/C74,IF(E74&gt;0,1,0)))</f>
        <v>0.013741120389030165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3585556</v>
      </c>
      <c r="C76" s="29">
        <v>3585556</v>
      </c>
      <c r="D76" s="29">
        <v>3649900</v>
      </c>
      <c r="E76" s="38">
        <f t="shared" si="6"/>
        <v>64344</v>
      </c>
      <c r="F76" s="34">
        <f t="shared" si="7"/>
        <v>0.01794533400119814</v>
      </c>
    </row>
    <row r="77" spans="1:6" s="102" customFormat="1" ht="26.25">
      <c r="A77" s="59" t="s">
        <v>72</v>
      </c>
      <c r="B77" s="61">
        <v>13091040</v>
      </c>
      <c r="C77" s="61">
        <v>13091040</v>
      </c>
      <c r="D77" s="61">
        <v>13286000</v>
      </c>
      <c r="E77" s="44">
        <f t="shared" si="6"/>
        <v>194960</v>
      </c>
      <c r="F77" s="45">
        <f t="shared" si="7"/>
        <v>0.014892628851489263</v>
      </c>
    </row>
    <row r="78" spans="1:6" s="100" customFormat="1" ht="26.25">
      <c r="A78" s="39" t="s">
        <v>73</v>
      </c>
      <c r="B78" s="36">
        <v>36612</v>
      </c>
      <c r="C78" s="36">
        <v>36612</v>
      </c>
      <c r="D78" s="36">
        <v>47100</v>
      </c>
      <c r="E78" s="38">
        <f t="shared" si="6"/>
        <v>10488</v>
      </c>
      <c r="F78" s="34">
        <f t="shared" si="7"/>
        <v>0.2864634546050475</v>
      </c>
    </row>
    <row r="79" spans="1:6" s="100" customFormat="1" ht="26.25">
      <c r="A79" s="39" t="s">
        <v>74</v>
      </c>
      <c r="B79" s="33">
        <v>2220346</v>
      </c>
      <c r="C79" s="33">
        <v>2220346</v>
      </c>
      <c r="D79" s="33">
        <v>2307950</v>
      </c>
      <c r="E79" s="38">
        <f t="shared" si="6"/>
        <v>87604</v>
      </c>
      <c r="F79" s="34">
        <f t="shared" si="7"/>
        <v>0.03945511195102025</v>
      </c>
    </row>
    <row r="80" spans="1:6" s="100" customFormat="1" ht="26.25">
      <c r="A80" s="39" t="s">
        <v>75</v>
      </c>
      <c r="B80" s="29">
        <v>169829</v>
      </c>
      <c r="C80" s="29">
        <v>169829</v>
      </c>
      <c r="D80" s="29">
        <v>181750</v>
      </c>
      <c r="E80" s="38">
        <f t="shared" si="6"/>
        <v>11921</v>
      </c>
      <c r="F80" s="34">
        <f t="shared" si="7"/>
        <v>0.07019413645490465</v>
      </c>
    </row>
    <row r="81" spans="1:6" s="102" customFormat="1" ht="26.25">
      <c r="A81" s="42" t="s">
        <v>76</v>
      </c>
      <c r="B81" s="61">
        <v>2426787</v>
      </c>
      <c r="C81" s="61">
        <v>2426787</v>
      </c>
      <c r="D81" s="61">
        <v>2536800</v>
      </c>
      <c r="E81" s="44">
        <f t="shared" si="6"/>
        <v>110013</v>
      </c>
      <c r="F81" s="45">
        <f t="shared" si="7"/>
        <v>0.0453327795146422</v>
      </c>
    </row>
    <row r="82" spans="1:6" s="100" customFormat="1" ht="26.25">
      <c r="A82" s="39" t="s">
        <v>77</v>
      </c>
      <c r="B82" s="29">
        <v>122623</v>
      </c>
      <c r="C82" s="29">
        <v>122623</v>
      </c>
      <c r="D82" s="29">
        <v>130000</v>
      </c>
      <c r="E82" s="38">
        <f t="shared" si="6"/>
        <v>7377</v>
      </c>
      <c r="F82" s="34">
        <f t="shared" si="7"/>
        <v>0.06016000260962462</v>
      </c>
    </row>
    <row r="83" spans="1:6" s="100" customFormat="1" ht="26.25">
      <c r="A83" s="39" t="s">
        <v>78</v>
      </c>
      <c r="B83" s="38">
        <v>328097</v>
      </c>
      <c r="C83" s="38">
        <v>1899196</v>
      </c>
      <c r="D83" s="38">
        <v>689216</v>
      </c>
      <c r="E83" s="38">
        <f t="shared" si="6"/>
        <v>-1209980</v>
      </c>
      <c r="F83" s="34">
        <f t="shared" si="7"/>
        <v>-0.6371011733386127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700537</v>
      </c>
      <c r="C85" s="38">
        <v>700537</v>
      </c>
      <c r="D85" s="38">
        <v>687000</v>
      </c>
      <c r="E85" s="38">
        <f t="shared" si="6"/>
        <v>-13537</v>
      </c>
      <c r="F85" s="34">
        <f t="shared" si="7"/>
        <v>-0.019323747353815715</v>
      </c>
    </row>
    <row r="86" spans="1:6" s="102" customFormat="1" ht="26.25">
      <c r="A86" s="42" t="s">
        <v>81</v>
      </c>
      <c r="B86" s="44">
        <v>1151257</v>
      </c>
      <c r="C86" s="44">
        <v>2722356</v>
      </c>
      <c r="D86" s="44">
        <v>1506216</v>
      </c>
      <c r="E86" s="44">
        <f t="shared" si="6"/>
        <v>-1216140</v>
      </c>
      <c r="F86" s="45">
        <f t="shared" si="7"/>
        <v>-0.446723352860537</v>
      </c>
    </row>
    <row r="87" spans="1:6" s="100" customFormat="1" ht="26.25">
      <c r="A87" s="39" t="s">
        <v>82</v>
      </c>
      <c r="B87" s="38">
        <v>72062</v>
      </c>
      <c r="C87" s="38">
        <v>72062</v>
      </c>
      <c r="D87" s="38">
        <v>50000</v>
      </c>
      <c r="E87" s="38">
        <f t="shared" si="6"/>
        <v>-22062</v>
      </c>
      <c r="F87" s="34">
        <f t="shared" si="7"/>
        <v>-0.30615303488662543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72062</v>
      </c>
      <c r="C90" s="61">
        <v>72062</v>
      </c>
      <c r="D90" s="61">
        <v>50000</v>
      </c>
      <c r="E90" s="61">
        <f t="shared" si="6"/>
        <v>-22062</v>
      </c>
      <c r="F90" s="45">
        <f t="shared" si="7"/>
        <v>-0.30615303488662543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16741146</v>
      </c>
      <c r="C92" s="64">
        <v>18312245</v>
      </c>
      <c r="D92" s="64">
        <v>17379016</v>
      </c>
      <c r="E92" s="64">
        <f t="shared" si="6"/>
        <v>-933229</v>
      </c>
      <c r="F92" s="65">
        <f t="shared" si="7"/>
        <v>-0.05096202022198808</v>
      </c>
    </row>
    <row r="93" spans="1:8" s="93" customFormat="1" ht="31.5">
      <c r="A93" s="16"/>
      <c r="B93" s="17"/>
      <c r="C93" s="107"/>
      <c r="D93" s="10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78" customWidth="1"/>
    <col min="2" max="2" width="32.7109375" style="94" customWidth="1"/>
    <col min="3" max="5" width="32.8515625" style="79" customWidth="1"/>
    <col min="6" max="6" width="25.57421875" style="80" customWidth="1"/>
    <col min="7" max="7" width="30.28125" style="78" customWidth="1"/>
    <col min="8" max="8" width="25.140625" style="78" customWidth="1"/>
    <col min="9" max="16384" width="9.140625" style="78" customWidth="1"/>
  </cols>
  <sheetData>
    <row r="1" spans="1:8" s="72" customFormat="1" ht="46.5">
      <c r="A1" s="7" t="s">
        <v>0</v>
      </c>
      <c r="B1" s="8"/>
      <c r="C1" s="10" t="s">
        <v>1</v>
      </c>
      <c r="D1" s="1" t="s">
        <v>114</v>
      </c>
      <c r="E1" s="149"/>
      <c r="F1" s="1"/>
      <c r="G1" s="82"/>
      <c r="H1" s="73"/>
    </row>
    <row r="2" spans="1:8" s="72" customFormat="1" ht="46.5">
      <c r="A2" s="7" t="s">
        <v>2</v>
      </c>
      <c r="B2" s="8"/>
      <c r="C2" s="8"/>
      <c r="D2" s="8"/>
      <c r="E2" s="8"/>
      <c r="F2" s="12"/>
      <c r="G2" s="73"/>
      <c r="H2" s="73"/>
    </row>
    <row r="3" spans="1:8" s="72" customFormat="1" ht="47.25" thickBot="1">
      <c r="A3" s="13" t="s">
        <v>3</v>
      </c>
      <c r="B3" s="14"/>
      <c r="C3" s="14"/>
      <c r="D3" s="14"/>
      <c r="E3" s="14"/>
      <c r="F3" s="15"/>
      <c r="G3" s="73"/>
      <c r="H3" s="73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74" customFormat="1" ht="26.25">
      <c r="A6" s="28" t="s">
        <v>10</v>
      </c>
      <c r="B6" s="29"/>
      <c r="C6" s="29"/>
      <c r="D6" s="29"/>
      <c r="E6" s="29"/>
      <c r="F6" s="30"/>
    </row>
    <row r="7" spans="1:6" s="74" customFormat="1" ht="26.25">
      <c r="A7" s="28" t="s">
        <v>11</v>
      </c>
      <c r="B7" s="29"/>
      <c r="C7" s="29"/>
      <c r="D7" s="29"/>
      <c r="E7" s="29"/>
      <c r="F7" s="31"/>
    </row>
    <row r="8" spans="1:6" s="74" customFormat="1" ht="26.25">
      <c r="A8" s="32" t="s">
        <v>12</v>
      </c>
      <c r="B8" s="33">
        <v>4957881</v>
      </c>
      <c r="C8" s="33">
        <v>4957881</v>
      </c>
      <c r="D8" s="33">
        <v>5398002</v>
      </c>
      <c r="E8" s="33">
        <f aca="true" t="shared" si="0" ref="E8:E29">D8-C8</f>
        <v>440121</v>
      </c>
      <c r="F8" s="34">
        <f aca="true" t="shared" si="1" ref="F8:F29">IF(ISBLANK(E8),"  ",IF(C8&gt;0,E8/C8,IF(E8&gt;0,1,0)))</f>
        <v>0.08877199755298686</v>
      </c>
    </row>
    <row r="9" spans="1:6" s="74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74" customFormat="1" ht="26.25">
      <c r="A10" s="35" t="s">
        <v>14</v>
      </c>
      <c r="B10" s="36">
        <v>205756</v>
      </c>
      <c r="C10" s="36">
        <v>237395</v>
      </c>
      <c r="D10" s="36">
        <v>230236</v>
      </c>
      <c r="E10" s="36">
        <f t="shared" si="0"/>
        <v>-7159</v>
      </c>
      <c r="F10" s="34">
        <f t="shared" si="1"/>
        <v>-0.030156490237789338</v>
      </c>
    </row>
    <row r="11" spans="1:6" s="74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74" customFormat="1" ht="26.25">
      <c r="A12" s="39" t="s">
        <v>16</v>
      </c>
      <c r="B12" s="38">
        <v>205756</v>
      </c>
      <c r="C12" s="38">
        <v>237395</v>
      </c>
      <c r="D12" s="38">
        <v>230236</v>
      </c>
      <c r="E12" s="36">
        <f t="shared" si="0"/>
        <v>-7159</v>
      </c>
      <c r="F12" s="34">
        <f t="shared" si="1"/>
        <v>-0.030156490237789338</v>
      </c>
    </row>
    <row r="13" spans="1:6" s="74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74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74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74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74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74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74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74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74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74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74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74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74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74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74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74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74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74" customFormat="1" ht="26.25">
      <c r="A30" s="41" t="s">
        <v>33</v>
      </c>
      <c r="B30" s="38"/>
      <c r="C30" s="38"/>
      <c r="D30" s="38"/>
      <c r="E30" s="38"/>
      <c r="F30" s="30"/>
    </row>
    <row r="31" spans="1:6" s="74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74" customFormat="1" ht="26.25">
      <c r="A32" s="42" t="s">
        <v>35</v>
      </c>
      <c r="B32" s="38"/>
      <c r="C32" s="38"/>
      <c r="D32" s="38"/>
      <c r="E32" s="38"/>
      <c r="F32" s="30"/>
    </row>
    <row r="33" spans="1:6" s="74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74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75" customFormat="1" ht="26.25">
      <c r="A35" s="43" t="s">
        <v>38</v>
      </c>
      <c r="B35" s="44">
        <v>5163637</v>
      </c>
      <c r="C35" s="44">
        <v>5195276</v>
      </c>
      <c r="D35" s="44">
        <v>5628238</v>
      </c>
      <c r="E35" s="44">
        <f>D35-C35</f>
        <v>432962</v>
      </c>
      <c r="F35" s="45">
        <f>IF(ISBLANK(E35),"  ",IF(C35&gt;0,E35/C35,IF(E35&gt;0,1,0)))</f>
        <v>0.08333763211040184</v>
      </c>
    </row>
    <row r="36" spans="1:6" s="74" customFormat="1" ht="26.25">
      <c r="A36" s="41" t="s">
        <v>39</v>
      </c>
      <c r="B36" s="38"/>
      <c r="C36" s="38"/>
      <c r="D36" s="38"/>
      <c r="E36" s="38"/>
      <c r="F36" s="30"/>
    </row>
    <row r="37" spans="1:6" s="74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74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74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74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74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75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75" t="s">
        <v>46</v>
      </c>
    </row>
    <row r="43" spans="1:6" s="74" customFormat="1" ht="26.25">
      <c r="A43" s="39" t="s">
        <v>46</v>
      </c>
      <c r="B43" s="38"/>
      <c r="C43" s="38"/>
      <c r="D43" s="38"/>
      <c r="E43" s="38"/>
      <c r="F43" s="30"/>
    </row>
    <row r="44" spans="1:6" s="75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74" customFormat="1" ht="26.25">
      <c r="A45" s="39" t="s">
        <v>46</v>
      </c>
      <c r="B45" s="38"/>
      <c r="C45" s="38"/>
      <c r="D45" s="38"/>
      <c r="E45" s="38"/>
      <c r="F45" s="30"/>
    </row>
    <row r="46" spans="1:6" s="75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74" customFormat="1" ht="26.25">
      <c r="A47" s="39" t="s">
        <v>46</v>
      </c>
      <c r="B47" s="38"/>
      <c r="C47" s="38"/>
      <c r="D47" s="38"/>
      <c r="E47" s="38"/>
      <c r="F47" s="30"/>
    </row>
    <row r="48" spans="1:6" s="75" customFormat="1" ht="26.25">
      <c r="A48" s="41" t="s">
        <v>49</v>
      </c>
      <c r="B48" s="50">
        <v>6762016</v>
      </c>
      <c r="C48" s="50">
        <v>7043620</v>
      </c>
      <c r="D48" s="50">
        <v>7600000</v>
      </c>
      <c r="E48" s="50">
        <f>D48-C48</f>
        <v>556380</v>
      </c>
      <c r="F48" s="45">
        <f>IF(ISBLANK(E48),"  ",IF(C48&gt;0,E48/C48,IF(E48&gt;0,1,0)))</f>
        <v>0.07899063265763911</v>
      </c>
    </row>
    <row r="49" spans="1:6" s="74" customFormat="1" ht="26.25">
      <c r="A49" s="39" t="s">
        <v>46</v>
      </c>
      <c r="B49" s="38"/>
      <c r="C49" s="38"/>
      <c r="D49" s="38"/>
      <c r="E49" s="38"/>
      <c r="F49" s="30"/>
    </row>
    <row r="50" spans="1:6" s="75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74" customFormat="1" ht="26.25">
      <c r="A51" s="41"/>
      <c r="B51" s="29"/>
      <c r="C51" s="29"/>
      <c r="D51" s="29"/>
      <c r="E51" s="29"/>
      <c r="F51" s="55"/>
    </row>
    <row r="52" spans="1:6" s="75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74" customFormat="1" ht="26.25">
      <c r="A53" s="39"/>
      <c r="B53" s="38"/>
      <c r="C53" s="38"/>
      <c r="D53" s="38"/>
      <c r="E53" s="38"/>
      <c r="F53" s="30"/>
    </row>
    <row r="54" spans="1:6" s="75" customFormat="1" ht="26.25">
      <c r="A54" s="56" t="s">
        <v>52</v>
      </c>
      <c r="B54" s="50">
        <v>11925653</v>
      </c>
      <c r="C54" s="50">
        <v>12238896</v>
      </c>
      <c r="D54" s="50">
        <v>13228238</v>
      </c>
      <c r="E54" s="50">
        <f>D54-C54</f>
        <v>989342</v>
      </c>
      <c r="F54" s="45">
        <f>IF(ISBLANK(E54),"  ",IF(C54&gt;0,E54/C54,IF(E54&gt;0,1,0)))</f>
        <v>0.08083588585114213</v>
      </c>
    </row>
    <row r="55" spans="1:6" s="74" customFormat="1" ht="26.25">
      <c r="A55" s="57"/>
      <c r="B55" s="38"/>
      <c r="C55" s="38"/>
      <c r="D55" s="38"/>
      <c r="E55" s="38"/>
      <c r="F55" s="30" t="s">
        <v>46</v>
      </c>
    </row>
    <row r="56" spans="1:6" s="74" customFormat="1" ht="26.25">
      <c r="A56" s="58"/>
      <c r="B56" s="29"/>
      <c r="C56" s="29"/>
      <c r="D56" s="29"/>
      <c r="E56" s="29"/>
      <c r="F56" s="31" t="s">
        <v>46</v>
      </c>
    </row>
    <row r="57" spans="1:6" s="74" customFormat="1" ht="26.25">
      <c r="A57" s="56" t="s">
        <v>53</v>
      </c>
      <c r="B57" s="29"/>
      <c r="C57" s="29"/>
      <c r="D57" s="29"/>
      <c r="E57" s="29"/>
      <c r="F57" s="31"/>
    </row>
    <row r="58" spans="1:6" s="74" customFormat="1" ht="26.25">
      <c r="A58" s="37" t="s">
        <v>54</v>
      </c>
      <c r="B58" s="29">
        <v>5864606</v>
      </c>
      <c r="C58" s="29">
        <v>6066565</v>
      </c>
      <c r="D58" s="29">
        <v>5935902</v>
      </c>
      <c r="E58" s="29">
        <f aca="true" t="shared" si="4" ref="E58:E71">D58-C58</f>
        <v>-130663</v>
      </c>
      <c r="F58" s="34">
        <f aca="true" t="shared" si="5" ref="F58:F71">IF(ISBLANK(E58),"  ",IF(C58&gt;0,E58/C58,IF(E58&gt;0,1,0)))</f>
        <v>-0.02153821808552286</v>
      </c>
    </row>
    <row r="59" spans="1:6" s="74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74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74" customFormat="1" ht="26.25">
      <c r="A61" s="39" t="s">
        <v>57</v>
      </c>
      <c r="B61" s="38">
        <v>841834</v>
      </c>
      <c r="C61" s="38">
        <v>866465</v>
      </c>
      <c r="D61" s="38">
        <v>914226</v>
      </c>
      <c r="E61" s="38">
        <f t="shared" si="4"/>
        <v>47761</v>
      </c>
      <c r="F61" s="34">
        <f t="shared" si="5"/>
        <v>0.05512167254303405</v>
      </c>
    </row>
    <row r="62" spans="1:6" s="74" customFormat="1" ht="26.25">
      <c r="A62" s="39" t="s">
        <v>58</v>
      </c>
      <c r="B62" s="38">
        <v>1203517</v>
      </c>
      <c r="C62" s="38">
        <v>1225428</v>
      </c>
      <c r="D62" s="38">
        <v>1607439</v>
      </c>
      <c r="E62" s="38">
        <f t="shared" si="4"/>
        <v>382011</v>
      </c>
      <c r="F62" s="34">
        <f t="shared" si="5"/>
        <v>0.31173679726593484</v>
      </c>
    </row>
    <row r="63" spans="1:6" s="74" customFormat="1" ht="26.25">
      <c r="A63" s="39" t="s">
        <v>59</v>
      </c>
      <c r="B63" s="38">
        <v>2567576</v>
      </c>
      <c r="C63" s="38">
        <v>2619320</v>
      </c>
      <c r="D63" s="38">
        <v>3052788</v>
      </c>
      <c r="E63" s="38">
        <f t="shared" si="4"/>
        <v>433468</v>
      </c>
      <c r="F63" s="34">
        <f t="shared" si="5"/>
        <v>0.1654887528060718</v>
      </c>
    </row>
    <row r="64" spans="1:6" s="74" customFormat="1" ht="26.25">
      <c r="A64" s="39" t="s">
        <v>60</v>
      </c>
      <c r="B64" s="38">
        <v>0</v>
      </c>
      <c r="C64" s="38">
        <v>5445</v>
      </c>
      <c r="D64" s="38">
        <v>0</v>
      </c>
      <c r="E64" s="38">
        <f t="shared" si="4"/>
        <v>-5445</v>
      </c>
      <c r="F64" s="34">
        <f t="shared" si="5"/>
        <v>-1</v>
      </c>
    </row>
    <row r="65" spans="1:6" s="74" customFormat="1" ht="26.25">
      <c r="A65" s="39" t="s">
        <v>61</v>
      </c>
      <c r="B65" s="38">
        <v>1026379</v>
      </c>
      <c r="C65" s="38">
        <v>1030487</v>
      </c>
      <c r="D65" s="38">
        <v>1302996</v>
      </c>
      <c r="E65" s="38">
        <f t="shared" si="4"/>
        <v>272509</v>
      </c>
      <c r="F65" s="34">
        <f t="shared" si="5"/>
        <v>0.26444681010046706</v>
      </c>
    </row>
    <row r="66" spans="1:6" s="75" customFormat="1" ht="26.25">
      <c r="A66" s="59" t="s">
        <v>62</v>
      </c>
      <c r="B66" s="44">
        <v>11503912</v>
      </c>
      <c r="C66" s="44">
        <v>11813710</v>
      </c>
      <c r="D66" s="44">
        <v>12813351</v>
      </c>
      <c r="E66" s="44">
        <f t="shared" si="4"/>
        <v>999641</v>
      </c>
      <c r="F66" s="45">
        <f t="shared" si="5"/>
        <v>0.08461702547294626</v>
      </c>
    </row>
    <row r="67" spans="1:6" s="74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74" customFormat="1" ht="26.25">
      <c r="A68" s="39" t="s">
        <v>64</v>
      </c>
      <c r="B68" s="38">
        <v>421741</v>
      </c>
      <c r="C68" s="38">
        <v>425195</v>
      </c>
      <c r="D68" s="38">
        <v>414887</v>
      </c>
      <c r="E68" s="38">
        <f t="shared" si="4"/>
        <v>-10308</v>
      </c>
      <c r="F68" s="34">
        <f t="shared" si="5"/>
        <v>-0.024242994390808924</v>
      </c>
    </row>
    <row r="69" spans="1:6" s="74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74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75" customFormat="1" ht="26.25">
      <c r="A71" s="60" t="s">
        <v>67</v>
      </c>
      <c r="B71" s="61">
        <v>11925653</v>
      </c>
      <c r="C71" s="61">
        <v>12238905</v>
      </c>
      <c r="D71" s="61">
        <v>13228238</v>
      </c>
      <c r="E71" s="61">
        <f t="shared" si="4"/>
        <v>989333</v>
      </c>
      <c r="F71" s="45">
        <f t="shared" si="5"/>
        <v>0.08083509104776938</v>
      </c>
    </row>
    <row r="72" spans="1:6" s="74" customFormat="1" ht="26.25">
      <c r="A72" s="58"/>
      <c r="B72" s="29"/>
      <c r="C72" s="29"/>
      <c r="D72" s="29"/>
      <c r="E72" s="29"/>
      <c r="F72" s="31"/>
    </row>
    <row r="73" spans="1:6" s="74" customFormat="1" ht="26.25">
      <c r="A73" s="56" t="s">
        <v>68</v>
      </c>
      <c r="B73" s="29"/>
      <c r="C73" s="29"/>
      <c r="D73" s="29"/>
      <c r="E73" s="29"/>
      <c r="F73" s="31"/>
    </row>
    <row r="74" spans="1:6" s="74" customFormat="1" ht="26.25">
      <c r="A74" s="37" t="s">
        <v>69</v>
      </c>
      <c r="B74" s="33">
        <v>7081946</v>
      </c>
      <c r="C74" s="33">
        <v>7124367</v>
      </c>
      <c r="D74" s="33">
        <v>6971992</v>
      </c>
      <c r="E74" s="29">
        <f aca="true" t="shared" si="6" ref="E74:E92">D74-C74</f>
        <v>-152375</v>
      </c>
      <c r="F74" s="34">
        <f aca="true" t="shared" si="7" ref="F74:F92">IF(ISBLANK(E74),"  ",IF(C74&gt;0,E74/C74,IF(E74&gt;0,1,0)))</f>
        <v>-0.021387865055239295</v>
      </c>
    </row>
    <row r="75" spans="1:6" s="74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74" customFormat="1" ht="26.25">
      <c r="A76" s="39" t="s">
        <v>71</v>
      </c>
      <c r="B76" s="29">
        <v>2992877</v>
      </c>
      <c r="C76" s="29">
        <v>3160844</v>
      </c>
      <c r="D76" s="29">
        <v>3300963</v>
      </c>
      <c r="E76" s="38">
        <f t="shared" si="6"/>
        <v>140119</v>
      </c>
      <c r="F76" s="34">
        <f t="shared" si="7"/>
        <v>0.044329615760853744</v>
      </c>
    </row>
    <row r="77" spans="1:6" s="75" customFormat="1" ht="26.25">
      <c r="A77" s="59" t="s">
        <v>72</v>
      </c>
      <c r="B77" s="61">
        <v>10074823</v>
      </c>
      <c r="C77" s="61">
        <v>10285211</v>
      </c>
      <c r="D77" s="61">
        <v>10272955</v>
      </c>
      <c r="E77" s="44">
        <f t="shared" si="6"/>
        <v>-12256</v>
      </c>
      <c r="F77" s="45">
        <f t="shared" si="7"/>
        <v>-0.0011916138618838252</v>
      </c>
    </row>
    <row r="78" spans="1:6" s="74" customFormat="1" ht="26.25">
      <c r="A78" s="39" t="s">
        <v>73</v>
      </c>
      <c r="B78" s="36">
        <v>57141</v>
      </c>
      <c r="C78" s="36">
        <v>62777</v>
      </c>
      <c r="D78" s="36">
        <v>124440</v>
      </c>
      <c r="E78" s="38">
        <f t="shared" si="6"/>
        <v>61663</v>
      </c>
      <c r="F78" s="34">
        <f t="shared" si="7"/>
        <v>0.9822546474027112</v>
      </c>
    </row>
    <row r="79" spans="1:6" s="74" customFormat="1" ht="26.25">
      <c r="A79" s="39" t="s">
        <v>74</v>
      </c>
      <c r="B79" s="33">
        <v>1279432</v>
      </c>
      <c r="C79" s="33">
        <v>1329792</v>
      </c>
      <c r="D79" s="33">
        <v>1674530</v>
      </c>
      <c r="E79" s="38">
        <f t="shared" si="6"/>
        <v>344738</v>
      </c>
      <c r="F79" s="34">
        <f t="shared" si="7"/>
        <v>0.259242046876504</v>
      </c>
    </row>
    <row r="80" spans="1:6" s="74" customFormat="1" ht="26.25">
      <c r="A80" s="39" t="s">
        <v>75</v>
      </c>
      <c r="B80" s="29">
        <v>337711</v>
      </c>
      <c r="C80" s="29">
        <v>364511</v>
      </c>
      <c r="D80" s="29">
        <v>561473</v>
      </c>
      <c r="E80" s="38">
        <f t="shared" si="6"/>
        <v>196962</v>
      </c>
      <c r="F80" s="34">
        <f t="shared" si="7"/>
        <v>0.5403458331847324</v>
      </c>
    </row>
    <row r="81" spans="1:6" s="75" customFormat="1" ht="26.25">
      <c r="A81" s="42" t="s">
        <v>76</v>
      </c>
      <c r="B81" s="61">
        <v>1674284</v>
      </c>
      <c r="C81" s="61">
        <v>1757080</v>
      </c>
      <c r="D81" s="61">
        <v>2360443</v>
      </c>
      <c r="E81" s="44">
        <f t="shared" si="6"/>
        <v>603363</v>
      </c>
      <c r="F81" s="45">
        <f t="shared" si="7"/>
        <v>0.3433896009288137</v>
      </c>
    </row>
    <row r="82" spans="1:6" s="74" customFormat="1" ht="26.25">
      <c r="A82" s="39" t="s">
        <v>77</v>
      </c>
      <c r="B82" s="29">
        <v>24390</v>
      </c>
      <c r="C82" s="29">
        <v>26098</v>
      </c>
      <c r="D82" s="29">
        <v>55516</v>
      </c>
      <c r="E82" s="38">
        <f t="shared" si="6"/>
        <v>29418</v>
      </c>
      <c r="F82" s="34">
        <f t="shared" si="7"/>
        <v>1.127212813242394</v>
      </c>
    </row>
    <row r="83" spans="1:6" s="74" customFormat="1" ht="26.25">
      <c r="A83" s="39" t="s">
        <v>78</v>
      </c>
      <c r="B83" s="38">
        <v>95</v>
      </c>
      <c r="C83" s="38">
        <v>5540</v>
      </c>
      <c r="D83" s="38">
        <v>95</v>
      </c>
      <c r="E83" s="38">
        <f t="shared" si="6"/>
        <v>-5445</v>
      </c>
      <c r="F83" s="34">
        <f t="shared" si="7"/>
        <v>-0.9828519855595668</v>
      </c>
    </row>
    <row r="84" spans="1:6" s="74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74" customFormat="1" ht="26.25">
      <c r="A85" s="39" t="s">
        <v>80</v>
      </c>
      <c r="B85" s="38">
        <v>112179</v>
      </c>
      <c r="C85" s="38">
        <v>122175</v>
      </c>
      <c r="D85" s="38">
        <v>133978</v>
      </c>
      <c r="E85" s="38">
        <f t="shared" si="6"/>
        <v>11803</v>
      </c>
      <c r="F85" s="34">
        <f t="shared" si="7"/>
        <v>0.0966073255576018</v>
      </c>
    </row>
    <row r="86" spans="1:6" s="75" customFormat="1" ht="26.25">
      <c r="A86" s="42" t="s">
        <v>81</v>
      </c>
      <c r="B86" s="44">
        <v>136664</v>
      </c>
      <c r="C86" s="44">
        <v>153813</v>
      </c>
      <c r="D86" s="44">
        <v>189589</v>
      </c>
      <c r="E86" s="44">
        <f t="shared" si="6"/>
        <v>35776</v>
      </c>
      <c r="F86" s="45">
        <f t="shared" si="7"/>
        <v>0.23259412403372925</v>
      </c>
    </row>
    <row r="87" spans="1:6" s="74" customFormat="1" ht="26.25">
      <c r="A87" s="39" t="s">
        <v>82</v>
      </c>
      <c r="B87" s="38">
        <v>39882</v>
      </c>
      <c r="C87" s="38">
        <v>42801</v>
      </c>
      <c r="D87" s="38">
        <v>405251</v>
      </c>
      <c r="E87" s="38">
        <f t="shared" si="6"/>
        <v>362450</v>
      </c>
      <c r="F87" s="34">
        <f t="shared" si="7"/>
        <v>8.468260087381136</v>
      </c>
    </row>
    <row r="88" spans="1:6" s="74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74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75" customFormat="1" ht="26.25">
      <c r="A90" s="62" t="s">
        <v>85</v>
      </c>
      <c r="B90" s="61">
        <v>39882</v>
      </c>
      <c r="C90" s="61">
        <v>42801</v>
      </c>
      <c r="D90" s="61">
        <v>405251</v>
      </c>
      <c r="E90" s="61">
        <f t="shared" si="6"/>
        <v>362450</v>
      </c>
      <c r="F90" s="45">
        <f t="shared" si="7"/>
        <v>8.468260087381136</v>
      </c>
    </row>
    <row r="91" spans="1:6" s="74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75" customFormat="1" ht="27" thickBot="1">
      <c r="A92" s="63" t="s">
        <v>67</v>
      </c>
      <c r="B92" s="64">
        <v>11925653</v>
      </c>
      <c r="C92" s="64">
        <v>12238905</v>
      </c>
      <c r="D92" s="64">
        <v>13228238</v>
      </c>
      <c r="E92" s="64">
        <f t="shared" si="6"/>
        <v>989333</v>
      </c>
      <c r="F92" s="65">
        <f t="shared" si="7"/>
        <v>0.08083509104776938</v>
      </c>
    </row>
    <row r="93" spans="1:8" s="77" customFormat="1" ht="31.5">
      <c r="A93" s="16"/>
      <c r="B93" s="17"/>
      <c r="C93" s="17"/>
      <c r="D93" s="17"/>
      <c r="E93" s="17"/>
      <c r="F93" s="18" t="s">
        <v>46</v>
      </c>
      <c r="G93" s="76"/>
      <c r="H93" s="76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48" t="s">
        <v>113</v>
      </c>
      <c r="E1" s="147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3390207</v>
      </c>
      <c r="C8" s="33">
        <v>3390207</v>
      </c>
      <c r="D8" s="33">
        <v>3618662</v>
      </c>
      <c r="E8" s="33">
        <f aca="true" t="shared" si="0" ref="E8:E29">D8-C8</f>
        <v>228455</v>
      </c>
      <c r="F8" s="34">
        <f aca="true" t="shared" si="1" ref="F8:F29">IF(ISBLANK(E8),"  ",IF(C8&gt;0,E8/C8,IF(E8&gt;0,1,0)))</f>
        <v>0.06738674069164509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134188</v>
      </c>
      <c r="C10" s="36">
        <v>154822</v>
      </c>
      <c r="D10" s="36">
        <v>150153</v>
      </c>
      <c r="E10" s="36">
        <f t="shared" si="0"/>
        <v>-4669</v>
      </c>
      <c r="F10" s="34">
        <f t="shared" si="1"/>
        <v>-0.030157212799214583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134188</v>
      </c>
      <c r="C12" s="38">
        <v>154822</v>
      </c>
      <c r="D12" s="38">
        <v>150153</v>
      </c>
      <c r="E12" s="36">
        <f t="shared" si="0"/>
        <v>-4669</v>
      </c>
      <c r="F12" s="34">
        <f t="shared" si="1"/>
        <v>-0.030157212799214583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3524395</v>
      </c>
      <c r="C35" s="44">
        <v>3545029</v>
      </c>
      <c r="D35" s="44">
        <v>3768815</v>
      </c>
      <c r="E35" s="44">
        <f>D35-C35</f>
        <v>223786</v>
      </c>
      <c r="F35" s="45">
        <f>IF(ISBLANK(E35),"  ",IF(C35&gt;0,E35/C35,IF(E35&gt;0,1,0)))</f>
        <v>0.06312670502836507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29756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29756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5628514</v>
      </c>
      <c r="C48" s="50">
        <v>5973568</v>
      </c>
      <c r="D48" s="50">
        <v>5870568</v>
      </c>
      <c r="E48" s="50">
        <f>D48-C48</f>
        <v>-103000</v>
      </c>
      <c r="F48" s="45">
        <f>IF(ISBLANK(E48),"  ",IF(C48&gt;0,E48/C48,IF(E48&gt;0,1,0)))</f>
        <v>-0.01724262618254283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9123153</v>
      </c>
      <c r="C54" s="50">
        <v>9518597</v>
      </c>
      <c r="D54" s="50">
        <v>9639383</v>
      </c>
      <c r="E54" s="50">
        <f>D54-C54</f>
        <v>120786</v>
      </c>
      <c r="F54" s="45">
        <f>IF(ISBLANK(E54),"  ",IF(C54&gt;0,E54/C54,IF(E54&gt;0,1,0)))</f>
        <v>0.012689475140086297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4199727</v>
      </c>
      <c r="C58" s="29">
        <v>4256891</v>
      </c>
      <c r="D58" s="29">
        <v>4451057</v>
      </c>
      <c r="E58" s="29">
        <f aca="true" t="shared" si="4" ref="E58:E71">D58-C58</f>
        <v>194166</v>
      </c>
      <c r="F58" s="34">
        <f aca="true" t="shared" si="5" ref="F58:F71">IF(ISBLANK(E58),"  ",IF(C58&gt;0,E58/C58,IF(E58&gt;0,1,0)))</f>
        <v>0.04561216155170522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651418</v>
      </c>
      <c r="C61" s="38">
        <v>775309</v>
      </c>
      <c r="D61" s="38">
        <v>658229</v>
      </c>
      <c r="E61" s="38">
        <f t="shared" si="4"/>
        <v>-117080</v>
      </c>
      <c r="F61" s="34">
        <f t="shared" si="5"/>
        <v>-0.15101075829121036</v>
      </c>
    </row>
    <row r="62" spans="1:6" s="100" customFormat="1" ht="26.25">
      <c r="A62" s="39" t="s">
        <v>58</v>
      </c>
      <c r="B62" s="38">
        <v>695059</v>
      </c>
      <c r="C62" s="38">
        <v>718445</v>
      </c>
      <c r="D62" s="38">
        <v>763952</v>
      </c>
      <c r="E62" s="38">
        <f t="shared" si="4"/>
        <v>45507</v>
      </c>
      <c r="F62" s="34">
        <f t="shared" si="5"/>
        <v>0.06334096555755833</v>
      </c>
    </row>
    <row r="63" spans="1:6" s="100" customFormat="1" ht="26.25">
      <c r="A63" s="39" t="s">
        <v>59</v>
      </c>
      <c r="B63" s="38">
        <v>1951698</v>
      </c>
      <c r="C63" s="38">
        <v>1907726</v>
      </c>
      <c r="D63" s="38">
        <v>1981161</v>
      </c>
      <c r="E63" s="38">
        <f t="shared" si="4"/>
        <v>73435</v>
      </c>
      <c r="F63" s="34">
        <f t="shared" si="5"/>
        <v>0.03849347338139754</v>
      </c>
    </row>
    <row r="64" spans="1:6" s="100" customFormat="1" ht="26.25">
      <c r="A64" s="39" t="s">
        <v>60</v>
      </c>
      <c r="B64" s="38">
        <v>4379</v>
      </c>
      <c r="C64" s="38">
        <v>113550</v>
      </c>
      <c r="D64" s="38">
        <v>0</v>
      </c>
      <c r="E64" s="38">
        <f t="shared" si="4"/>
        <v>-113550</v>
      </c>
      <c r="F64" s="34">
        <f t="shared" si="5"/>
        <v>-1</v>
      </c>
    </row>
    <row r="65" spans="1:6" s="100" customFormat="1" ht="26.25">
      <c r="A65" s="39" t="s">
        <v>61</v>
      </c>
      <c r="B65" s="38">
        <v>1306824</v>
      </c>
      <c r="C65" s="38">
        <v>1419024</v>
      </c>
      <c r="D65" s="38">
        <v>1402635</v>
      </c>
      <c r="E65" s="38">
        <f t="shared" si="4"/>
        <v>-16389</v>
      </c>
      <c r="F65" s="34">
        <f t="shared" si="5"/>
        <v>-0.011549487535094544</v>
      </c>
    </row>
    <row r="66" spans="1:6" s="102" customFormat="1" ht="26.25">
      <c r="A66" s="59" t="s">
        <v>62</v>
      </c>
      <c r="B66" s="44">
        <v>8809105</v>
      </c>
      <c r="C66" s="44">
        <v>9190945</v>
      </c>
      <c r="D66" s="44">
        <v>9257034</v>
      </c>
      <c r="E66" s="44">
        <f t="shared" si="4"/>
        <v>66089</v>
      </c>
      <c r="F66" s="45">
        <f t="shared" si="5"/>
        <v>0.0071906642896894715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314048</v>
      </c>
      <c r="C68" s="38">
        <v>327652</v>
      </c>
      <c r="D68" s="38">
        <v>382349</v>
      </c>
      <c r="E68" s="38">
        <f t="shared" si="4"/>
        <v>54697</v>
      </c>
      <c r="F68" s="34">
        <f t="shared" si="5"/>
        <v>0.166936261643451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9123153</v>
      </c>
      <c r="C71" s="61">
        <v>9518597</v>
      </c>
      <c r="D71" s="61">
        <v>9639383</v>
      </c>
      <c r="E71" s="61">
        <f t="shared" si="4"/>
        <v>120786</v>
      </c>
      <c r="F71" s="45">
        <f t="shared" si="5"/>
        <v>0.012689475140086297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5609599</v>
      </c>
      <c r="C74" s="33">
        <v>5734661</v>
      </c>
      <c r="D74" s="33">
        <v>5742545</v>
      </c>
      <c r="E74" s="29">
        <f aca="true" t="shared" si="6" ref="E74:E92">D74-C74</f>
        <v>7884</v>
      </c>
      <c r="F74" s="34">
        <f aca="true" t="shared" si="7" ref="F74:F92">IF(ISBLANK(E74),"  ",IF(C74&gt;0,E74/C74,IF(E74&gt;0,1,0)))</f>
        <v>0.0013747979174357472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2112732</v>
      </c>
      <c r="C76" s="29">
        <v>2229818</v>
      </c>
      <c r="D76" s="29">
        <v>2337079</v>
      </c>
      <c r="E76" s="38">
        <f t="shared" si="6"/>
        <v>107261</v>
      </c>
      <c r="F76" s="34">
        <f t="shared" si="7"/>
        <v>0.04810302903645051</v>
      </c>
    </row>
    <row r="77" spans="1:6" s="102" customFormat="1" ht="26.25">
      <c r="A77" s="59" t="s">
        <v>72</v>
      </c>
      <c r="B77" s="61">
        <v>7722331</v>
      </c>
      <c r="C77" s="61">
        <v>7964479</v>
      </c>
      <c r="D77" s="61">
        <v>8079624</v>
      </c>
      <c r="E77" s="44">
        <f t="shared" si="6"/>
        <v>115145</v>
      </c>
      <c r="F77" s="45">
        <f t="shared" si="7"/>
        <v>0.014457317295958718</v>
      </c>
    </row>
    <row r="78" spans="1:6" s="100" customFormat="1" ht="26.25">
      <c r="A78" s="39" t="s">
        <v>73</v>
      </c>
      <c r="B78" s="36">
        <v>9602</v>
      </c>
      <c r="C78" s="36">
        <v>25445</v>
      </c>
      <c r="D78" s="36">
        <v>25259</v>
      </c>
      <c r="E78" s="38">
        <f t="shared" si="6"/>
        <v>-186</v>
      </c>
      <c r="F78" s="34">
        <f t="shared" si="7"/>
        <v>-0.0073098840636667325</v>
      </c>
    </row>
    <row r="79" spans="1:6" s="100" customFormat="1" ht="26.25">
      <c r="A79" s="39" t="s">
        <v>74</v>
      </c>
      <c r="B79" s="33">
        <v>693067</v>
      </c>
      <c r="C79" s="33">
        <v>772926</v>
      </c>
      <c r="D79" s="33">
        <v>781274</v>
      </c>
      <c r="E79" s="38">
        <f t="shared" si="6"/>
        <v>8348</v>
      </c>
      <c r="F79" s="34">
        <f t="shared" si="7"/>
        <v>0.010800516478938475</v>
      </c>
    </row>
    <row r="80" spans="1:6" s="100" customFormat="1" ht="26.25">
      <c r="A80" s="39" t="s">
        <v>75</v>
      </c>
      <c r="B80" s="29">
        <v>127831</v>
      </c>
      <c r="C80" s="29">
        <v>125357</v>
      </c>
      <c r="D80" s="29">
        <v>178628</v>
      </c>
      <c r="E80" s="38">
        <f t="shared" si="6"/>
        <v>53271</v>
      </c>
      <c r="F80" s="34">
        <f t="shared" si="7"/>
        <v>0.42495433043228537</v>
      </c>
    </row>
    <row r="81" spans="1:6" s="102" customFormat="1" ht="26.25">
      <c r="A81" s="42" t="s">
        <v>76</v>
      </c>
      <c r="B81" s="61">
        <v>830500</v>
      </c>
      <c r="C81" s="61">
        <v>923728</v>
      </c>
      <c r="D81" s="61">
        <v>985161</v>
      </c>
      <c r="E81" s="44">
        <f t="shared" si="6"/>
        <v>61433</v>
      </c>
      <c r="F81" s="45">
        <f t="shared" si="7"/>
        <v>0.06650550811494292</v>
      </c>
    </row>
    <row r="82" spans="1:6" s="100" customFormat="1" ht="26.25">
      <c r="A82" s="39" t="s">
        <v>77</v>
      </c>
      <c r="B82" s="29">
        <v>44531</v>
      </c>
      <c r="C82" s="29">
        <v>37188</v>
      </c>
      <c r="D82" s="29">
        <v>31186</v>
      </c>
      <c r="E82" s="38">
        <f t="shared" si="6"/>
        <v>-6002</v>
      </c>
      <c r="F82" s="34">
        <f t="shared" si="7"/>
        <v>-0.16139614929547166</v>
      </c>
    </row>
    <row r="83" spans="1:6" s="100" customFormat="1" ht="26.25">
      <c r="A83" s="39" t="s">
        <v>78</v>
      </c>
      <c r="B83" s="38">
        <v>210901</v>
      </c>
      <c r="C83" s="38">
        <v>273845</v>
      </c>
      <c r="D83" s="38">
        <v>128629</v>
      </c>
      <c r="E83" s="38">
        <f t="shared" si="6"/>
        <v>-145216</v>
      </c>
      <c r="F83" s="34">
        <f t="shared" si="7"/>
        <v>-0.5302853804159288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216249</v>
      </c>
      <c r="C85" s="38">
        <v>218357</v>
      </c>
      <c r="D85" s="38">
        <v>284720</v>
      </c>
      <c r="E85" s="38">
        <f t="shared" si="6"/>
        <v>66363</v>
      </c>
      <c r="F85" s="34">
        <f t="shared" si="7"/>
        <v>0.30391972778523246</v>
      </c>
    </row>
    <row r="86" spans="1:6" s="102" customFormat="1" ht="26.25">
      <c r="A86" s="42" t="s">
        <v>81</v>
      </c>
      <c r="B86" s="44">
        <v>471681</v>
      </c>
      <c r="C86" s="44">
        <v>529390</v>
      </c>
      <c r="D86" s="44">
        <v>444535</v>
      </c>
      <c r="E86" s="44">
        <f t="shared" si="6"/>
        <v>-84855</v>
      </c>
      <c r="F86" s="45">
        <f t="shared" si="7"/>
        <v>-0.16028825629498103</v>
      </c>
    </row>
    <row r="87" spans="1:6" s="100" customFormat="1" ht="26.25">
      <c r="A87" s="39" t="s">
        <v>82</v>
      </c>
      <c r="B87" s="38">
        <v>64449</v>
      </c>
      <c r="C87" s="38">
        <v>63000</v>
      </c>
      <c r="D87" s="38">
        <v>80063</v>
      </c>
      <c r="E87" s="38">
        <f t="shared" si="6"/>
        <v>17063</v>
      </c>
      <c r="F87" s="34">
        <f t="shared" si="7"/>
        <v>0.2708412698412698</v>
      </c>
    </row>
    <row r="88" spans="1:6" s="100" customFormat="1" ht="26.25">
      <c r="A88" s="39" t="s">
        <v>83</v>
      </c>
      <c r="B88" s="38">
        <v>34192</v>
      </c>
      <c r="C88" s="38">
        <v>38000</v>
      </c>
      <c r="D88" s="38">
        <v>50000</v>
      </c>
      <c r="E88" s="38">
        <f t="shared" si="6"/>
        <v>12000</v>
      </c>
      <c r="F88" s="34">
        <f t="shared" si="7"/>
        <v>0.3157894736842105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98641</v>
      </c>
      <c r="C90" s="61">
        <v>101000</v>
      </c>
      <c r="D90" s="61">
        <v>130063</v>
      </c>
      <c r="E90" s="61">
        <f t="shared" si="6"/>
        <v>29063</v>
      </c>
      <c r="F90" s="45">
        <f t="shared" si="7"/>
        <v>0.28775247524752473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9123153</v>
      </c>
      <c r="C92" s="64">
        <v>9518597</v>
      </c>
      <c r="D92" s="64">
        <v>9639383</v>
      </c>
      <c r="E92" s="64">
        <f t="shared" si="6"/>
        <v>120786</v>
      </c>
      <c r="F92" s="65">
        <f t="shared" si="7"/>
        <v>0.012689475140086297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48" t="s">
        <v>115</v>
      </c>
      <c r="E1" s="96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3140591</v>
      </c>
      <c r="C8" s="33">
        <v>3140591</v>
      </c>
      <c r="D8" s="33">
        <v>3331782</v>
      </c>
      <c r="E8" s="33">
        <f aca="true" t="shared" si="0" ref="E8:E29">D8-C8</f>
        <v>191191</v>
      </c>
      <c r="F8" s="34">
        <f aca="true" t="shared" si="1" ref="F8:F29">IF(ISBLANK(E8),"  ",IF(C8&gt;0,E8/C8,IF(E8&gt;0,1,0)))</f>
        <v>0.06087739536921554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122124</v>
      </c>
      <c r="C10" s="36">
        <v>140903</v>
      </c>
      <c r="D10" s="36">
        <v>141681</v>
      </c>
      <c r="E10" s="36">
        <f t="shared" si="0"/>
        <v>778</v>
      </c>
      <c r="F10" s="34">
        <f t="shared" si="1"/>
        <v>0.005521528995124305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122124</v>
      </c>
      <c r="C12" s="38">
        <v>140903</v>
      </c>
      <c r="D12" s="38">
        <v>141681</v>
      </c>
      <c r="E12" s="36">
        <f t="shared" si="0"/>
        <v>778</v>
      </c>
      <c r="F12" s="34">
        <f t="shared" si="1"/>
        <v>0.005521528995124305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3262715</v>
      </c>
      <c r="C35" s="44">
        <v>3281494</v>
      </c>
      <c r="D35" s="44">
        <v>3473463</v>
      </c>
      <c r="E35" s="44">
        <f>D35-C35</f>
        <v>191969</v>
      </c>
      <c r="F35" s="45">
        <f>IF(ISBLANK(E35),"  ",IF(C35&gt;0,E35/C35,IF(E35&gt;0,1,0)))</f>
        <v>0.058500487887529276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1889172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1889172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6702708</v>
      </c>
      <c r="C48" s="50">
        <v>6142431</v>
      </c>
      <c r="D48" s="50">
        <v>5500000</v>
      </c>
      <c r="E48" s="50">
        <f>D48-C48</f>
        <v>-642431</v>
      </c>
      <c r="F48" s="45">
        <f>IF(ISBLANK(E48),"  ",IF(C48&gt;0,E48/C48,IF(E48&gt;0,1,0)))</f>
        <v>-0.10458904625872069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8076251</v>
      </c>
      <c r="C54" s="50">
        <v>9423925</v>
      </c>
      <c r="D54" s="50">
        <v>8973463</v>
      </c>
      <c r="E54" s="50">
        <f>D54-C54</f>
        <v>-450462</v>
      </c>
      <c r="F54" s="45">
        <f>IF(ISBLANK(E54),"  ",IF(C54&gt;0,E54/C54,IF(E54&gt;0,1,0)))</f>
        <v>-0.047799828627668406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3553735</v>
      </c>
      <c r="C58" s="29">
        <v>3657618</v>
      </c>
      <c r="D58" s="29">
        <v>4472257</v>
      </c>
      <c r="E58" s="29">
        <f aca="true" t="shared" si="4" ref="E58:E71">D58-C58</f>
        <v>814639</v>
      </c>
      <c r="F58" s="34">
        <f aca="true" t="shared" si="5" ref="F58:F71">IF(ISBLANK(E58),"  ",IF(C58&gt;0,E58/C58,IF(E58&gt;0,1,0)))</f>
        <v>0.22272391485387485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703668</v>
      </c>
      <c r="C61" s="38">
        <v>770950</v>
      </c>
      <c r="D61" s="38">
        <v>886544</v>
      </c>
      <c r="E61" s="38">
        <f t="shared" si="4"/>
        <v>115594</v>
      </c>
      <c r="F61" s="34">
        <f t="shared" si="5"/>
        <v>0.1499370906025034</v>
      </c>
    </row>
    <row r="62" spans="1:6" s="100" customFormat="1" ht="26.25">
      <c r="A62" s="39" t="s">
        <v>58</v>
      </c>
      <c r="B62" s="38">
        <v>573503</v>
      </c>
      <c r="C62" s="38">
        <v>914588</v>
      </c>
      <c r="D62" s="38">
        <v>818528</v>
      </c>
      <c r="E62" s="38">
        <f t="shared" si="4"/>
        <v>-96060</v>
      </c>
      <c r="F62" s="34">
        <f t="shared" si="5"/>
        <v>-0.10503089915896557</v>
      </c>
    </row>
    <row r="63" spans="1:6" s="100" customFormat="1" ht="26.25">
      <c r="A63" s="39" t="s">
        <v>59</v>
      </c>
      <c r="B63" s="38">
        <v>1438355</v>
      </c>
      <c r="C63" s="38">
        <v>1858739</v>
      </c>
      <c r="D63" s="38">
        <v>1538676</v>
      </c>
      <c r="E63" s="38">
        <f t="shared" si="4"/>
        <v>-320063</v>
      </c>
      <c r="F63" s="34">
        <f t="shared" si="5"/>
        <v>-0.17219362158969065</v>
      </c>
    </row>
    <row r="64" spans="1:6" s="100" customFormat="1" ht="26.25">
      <c r="A64" s="39" t="s">
        <v>60</v>
      </c>
      <c r="B64" s="38">
        <v>918583</v>
      </c>
      <c r="C64" s="38">
        <v>1125000</v>
      </c>
      <c r="D64" s="38">
        <v>0</v>
      </c>
      <c r="E64" s="38">
        <f t="shared" si="4"/>
        <v>-1125000</v>
      </c>
      <c r="F64" s="34">
        <f t="shared" si="5"/>
        <v>-1</v>
      </c>
    </row>
    <row r="65" spans="1:6" s="100" customFormat="1" ht="26.25">
      <c r="A65" s="39" t="s">
        <v>61</v>
      </c>
      <c r="B65" s="38">
        <v>706320</v>
      </c>
      <c r="C65" s="38">
        <v>914943</v>
      </c>
      <c r="D65" s="38">
        <v>1073924</v>
      </c>
      <c r="E65" s="38">
        <f t="shared" si="4"/>
        <v>158981</v>
      </c>
      <c r="F65" s="34">
        <f t="shared" si="5"/>
        <v>0.17376055120373618</v>
      </c>
    </row>
    <row r="66" spans="1:6" s="102" customFormat="1" ht="26.25">
      <c r="A66" s="59" t="s">
        <v>62</v>
      </c>
      <c r="B66" s="44">
        <v>7894164</v>
      </c>
      <c r="C66" s="44">
        <v>9241838</v>
      </c>
      <c r="D66" s="44">
        <v>8789929</v>
      </c>
      <c r="E66" s="44">
        <f t="shared" si="4"/>
        <v>-451909</v>
      </c>
      <c r="F66" s="45">
        <f t="shared" si="5"/>
        <v>-0.048898173718258206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182087</v>
      </c>
      <c r="C68" s="38">
        <v>182087</v>
      </c>
      <c r="D68" s="38">
        <v>183534</v>
      </c>
      <c r="E68" s="38">
        <f t="shared" si="4"/>
        <v>1447</v>
      </c>
      <c r="F68" s="34">
        <f t="shared" si="5"/>
        <v>0.007946750729047105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8076251</v>
      </c>
      <c r="C71" s="61">
        <v>9423925</v>
      </c>
      <c r="D71" s="61">
        <v>8973463</v>
      </c>
      <c r="E71" s="61">
        <f t="shared" si="4"/>
        <v>-450462</v>
      </c>
      <c r="F71" s="45">
        <f t="shared" si="5"/>
        <v>-0.047799828627668406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4104836</v>
      </c>
      <c r="C74" s="33">
        <v>4641502</v>
      </c>
      <c r="D74" s="33">
        <v>4901857</v>
      </c>
      <c r="E74" s="29">
        <f aca="true" t="shared" si="6" ref="E74:E92">D74-C74</f>
        <v>260355</v>
      </c>
      <c r="F74" s="34">
        <f aca="true" t="shared" si="7" ref="F74:F92">IF(ISBLANK(E74),"  ",IF(C74&gt;0,E74/C74,IF(E74&gt;0,1,0)))</f>
        <v>0.056092833742180874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1478469</v>
      </c>
      <c r="C76" s="29">
        <v>1782836</v>
      </c>
      <c r="D76" s="29">
        <v>2046072</v>
      </c>
      <c r="E76" s="38">
        <f t="shared" si="6"/>
        <v>263236</v>
      </c>
      <c r="F76" s="34">
        <f t="shared" si="7"/>
        <v>0.1476501484152216</v>
      </c>
    </row>
    <row r="77" spans="1:6" s="102" customFormat="1" ht="26.25">
      <c r="A77" s="59" t="s">
        <v>72</v>
      </c>
      <c r="B77" s="61">
        <v>5583305</v>
      </c>
      <c r="C77" s="61">
        <v>6424338</v>
      </c>
      <c r="D77" s="61">
        <v>6947929</v>
      </c>
      <c r="E77" s="44">
        <f t="shared" si="6"/>
        <v>523591</v>
      </c>
      <c r="F77" s="45">
        <f t="shared" si="7"/>
        <v>0.08150116011953294</v>
      </c>
    </row>
    <row r="78" spans="1:6" s="100" customFormat="1" ht="26.25">
      <c r="A78" s="39" t="s">
        <v>73</v>
      </c>
      <c r="B78" s="36">
        <v>24257</v>
      </c>
      <c r="C78" s="36">
        <v>30500</v>
      </c>
      <c r="D78" s="36">
        <v>36000</v>
      </c>
      <c r="E78" s="38">
        <f t="shared" si="6"/>
        <v>5500</v>
      </c>
      <c r="F78" s="34">
        <f t="shared" si="7"/>
        <v>0.18032786885245902</v>
      </c>
    </row>
    <row r="79" spans="1:6" s="100" customFormat="1" ht="26.25">
      <c r="A79" s="39" t="s">
        <v>74</v>
      </c>
      <c r="B79" s="33">
        <v>1585789</v>
      </c>
      <c r="C79" s="33">
        <v>2092000</v>
      </c>
      <c r="D79" s="33">
        <v>920000</v>
      </c>
      <c r="E79" s="38">
        <f t="shared" si="6"/>
        <v>-1172000</v>
      </c>
      <c r="F79" s="34">
        <f t="shared" si="7"/>
        <v>-0.5602294455066922</v>
      </c>
    </row>
    <row r="80" spans="1:6" s="100" customFormat="1" ht="26.25">
      <c r="A80" s="39" t="s">
        <v>75</v>
      </c>
      <c r="B80" s="29">
        <v>413706</v>
      </c>
      <c r="C80" s="29">
        <v>290000</v>
      </c>
      <c r="D80" s="29">
        <v>540000</v>
      </c>
      <c r="E80" s="38">
        <f t="shared" si="6"/>
        <v>250000</v>
      </c>
      <c r="F80" s="34">
        <f t="shared" si="7"/>
        <v>0.8620689655172413</v>
      </c>
    </row>
    <row r="81" spans="1:6" s="102" customFormat="1" ht="26.25">
      <c r="A81" s="42" t="s">
        <v>76</v>
      </c>
      <c r="B81" s="61">
        <v>2023752</v>
      </c>
      <c r="C81" s="61">
        <v>2412500</v>
      </c>
      <c r="D81" s="61">
        <v>1496000</v>
      </c>
      <c r="E81" s="44">
        <f t="shared" si="6"/>
        <v>-916500</v>
      </c>
      <c r="F81" s="45">
        <f t="shared" si="7"/>
        <v>-0.3798963730569948</v>
      </c>
    </row>
    <row r="82" spans="1:6" s="100" customFormat="1" ht="26.25">
      <c r="A82" s="39" t="s">
        <v>77</v>
      </c>
      <c r="B82" s="29">
        <v>280974</v>
      </c>
      <c r="C82" s="29">
        <v>390000</v>
      </c>
      <c r="D82" s="29">
        <v>340000</v>
      </c>
      <c r="E82" s="38">
        <f t="shared" si="6"/>
        <v>-50000</v>
      </c>
      <c r="F82" s="34">
        <f t="shared" si="7"/>
        <v>-0.1282051282051282</v>
      </c>
    </row>
    <row r="83" spans="1:6" s="100" customFormat="1" ht="26.25">
      <c r="A83" s="39" t="s">
        <v>78</v>
      </c>
      <c r="B83" s="38">
        <v>6133</v>
      </c>
      <c r="C83" s="38">
        <v>12500</v>
      </c>
      <c r="D83" s="38">
        <v>6000</v>
      </c>
      <c r="E83" s="38">
        <f t="shared" si="6"/>
        <v>-6500</v>
      </c>
      <c r="F83" s="34">
        <f t="shared" si="7"/>
        <v>-0.52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182087</v>
      </c>
      <c r="C85" s="38">
        <v>182087</v>
      </c>
      <c r="D85" s="38">
        <v>183534</v>
      </c>
      <c r="E85" s="38">
        <f t="shared" si="6"/>
        <v>1447</v>
      </c>
      <c r="F85" s="34">
        <f t="shared" si="7"/>
        <v>0.007946750729047105</v>
      </c>
    </row>
    <row r="86" spans="1:6" s="102" customFormat="1" ht="26.25">
      <c r="A86" s="42" t="s">
        <v>81</v>
      </c>
      <c r="B86" s="44">
        <v>469194</v>
      </c>
      <c r="C86" s="44">
        <v>584587</v>
      </c>
      <c r="D86" s="44">
        <v>529534</v>
      </c>
      <c r="E86" s="44">
        <f t="shared" si="6"/>
        <v>-55053</v>
      </c>
      <c r="F86" s="45">
        <f t="shared" si="7"/>
        <v>-0.09417417766731043</v>
      </c>
    </row>
    <row r="87" spans="1:6" s="100" customFormat="1" ht="26.25">
      <c r="A87" s="39" t="s">
        <v>82</v>
      </c>
      <c r="B87" s="38">
        <v>0</v>
      </c>
      <c r="C87" s="38">
        <v>0</v>
      </c>
      <c r="D87" s="38">
        <v>0</v>
      </c>
      <c r="E87" s="38">
        <f t="shared" si="6"/>
        <v>0</v>
      </c>
      <c r="F87" s="34">
        <f t="shared" si="7"/>
        <v>0</v>
      </c>
    </row>
    <row r="88" spans="1:6" s="100" customFormat="1" ht="26.25">
      <c r="A88" s="39" t="s">
        <v>83</v>
      </c>
      <c r="B88" s="38">
        <v>0</v>
      </c>
      <c r="C88" s="38">
        <v>2500</v>
      </c>
      <c r="D88" s="38">
        <v>0</v>
      </c>
      <c r="E88" s="38">
        <f t="shared" si="6"/>
        <v>-2500</v>
      </c>
      <c r="F88" s="34">
        <f t="shared" si="7"/>
        <v>-1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0</v>
      </c>
      <c r="C90" s="61">
        <v>2500</v>
      </c>
      <c r="D90" s="61">
        <v>0</v>
      </c>
      <c r="E90" s="61">
        <f t="shared" si="6"/>
        <v>-2500</v>
      </c>
      <c r="F90" s="45">
        <f t="shared" si="7"/>
        <v>-1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8076251</v>
      </c>
      <c r="C92" s="64">
        <v>9423925</v>
      </c>
      <c r="D92" s="64">
        <v>8973463</v>
      </c>
      <c r="E92" s="64">
        <f t="shared" si="6"/>
        <v>-450462</v>
      </c>
      <c r="F92" s="65">
        <f t="shared" si="7"/>
        <v>-0.047799828627668406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50" zoomScaleNormal="50" zoomScalePageLayoutView="0" workbookViewId="0" topLeftCell="A1">
      <selection activeCell="B8" sqref="B8"/>
    </sheetView>
  </sheetViews>
  <sheetFormatPr defaultColWidth="9.140625" defaultRowHeight="15"/>
  <cols>
    <col min="1" max="1" width="108.5742187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5" s="92" customFormat="1" ht="46.5">
      <c r="A1" s="7" t="s">
        <v>0</v>
      </c>
      <c r="B1" s="10" t="s">
        <v>1</v>
      </c>
      <c r="C1" s="1" t="s">
        <v>139</v>
      </c>
      <c r="D1" s="98"/>
      <c r="E1" s="97"/>
    </row>
    <row r="2" spans="1:5" s="92" customFormat="1" ht="46.5">
      <c r="A2" s="7" t="s">
        <v>2</v>
      </c>
      <c r="B2" s="8"/>
      <c r="C2" s="12"/>
      <c r="D2" s="97"/>
      <c r="E2" s="97"/>
    </row>
    <row r="3" spans="1:5" s="92" customFormat="1" ht="47.25" thickBot="1">
      <c r="A3" s="13" t="s">
        <v>3</v>
      </c>
      <c r="B3" s="14"/>
      <c r="C3" s="15"/>
      <c r="D3" s="97"/>
      <c r="E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f>BOR!B8+ULBoard!B8+SUBoard!B8+LCTCBoard!B8+Online!B8</f>
        <v>25843209.259999998</v>
      </c>
      <c r="C8" s="33">
        <f>BOR!C8+ULBoard!C8+SUBoard!C8+LCTCBoard!C8+Online!C8</f>
        <v>26374884</v>
      </c>
      <c r="D8" s="33">
        <f>BOR!D8+ULBoard!D8+SUBoard!D8+LCTCBoard!D8+Online!D8</f>
        <v>25141986</v>
      </c>
      <c r="E8" s="33">
        <f aca="true" t="shared" si="0" ref="E8:E29">D8-C8</f>
        <v>-1232898</v>
      </c>
      <c r="F8" s="34">
        <f aca="true" t="shared" si="1" ref="F8:F29">IF(ISBLANK(E8),"  ",IF(C8&gt;0,E8/C8,IF(E8&gt;0,1,0)))</f>
        <v>-0.046745153457357386</v>
      </c>
    </row>
    <row r="9" spans="1:6" s="100" customFormat="1" ht="26.25">
      <c r="A9" s="32" t="s">
        <v>13</v>
      </c>
      <c r="B9" s="33">
        <f>BOR!B9+ULBoard!B9+SUBoard!B9+LCTCBoard!B9+Online!B9</f>
        <v>0</v>
      </c>
      <c r="C9" s="33">
        <f>BOR!C9+ULBoard!C9+SUBoard!C9+LCTCBoard!C9+Online!C9</f>
        <v>0</v>
      </c>
      <c r="D9" s="33">
        <f>BOR!D9+ULBoard!D9+SUBoard!D9+LCTCBoard!D9+Online!D9</f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3">
        <f>BOR!B10+ULBoard!B10+SUBoard!B10+LCTCBoard!B10+Online!B10</f>
        <v>29992390.090000004</v>
      </c>
      <c r="C10" s="33">
        <f>BOR!C10+ULBoard!C10+SUBoard!C10+LCTCBoard!C10+Online!C10</f>
        <v>34748700</v>
      </c>
      <c r="D10" s="33">
        <f>BOR!D10+ULBoard!D10+SUBoard!D10+LCTCBoard!D10+Online!D10</f>
        <v>34630000</v>
      </c>
      <c r="E10" s="33">
        <f t="shared" si="0"/>
        <v>-118700</v>
      </c>
      <c r="F10" s="34">
        <f t="shared" si="1"/>
        <v>-0.003415955129256634</v>
      </c>
    </row>
    <row r="11" spans="1:6" s="100" customFormat="1" ht="26.25">
      <c r="A11" s="37" t="s">
        <v>15</v>
      </c>
      <c r="B11" s="33">
        <f>BOR!B11+ULBoard!B11+SUBoard!B11+LCTCBoard!B11+Online!B11</f>
        <v>92232.62</v>
      </c>
      <c r="C11" s="33">
        <f>BOR!C11+ULBoard!C11+SUBoard!C11+LCTCBoard!C11+Online!C11</f>
        <v>118700</v>
      </c>
      <c r="D11" s="33">
        <f>BOR!D11+ULBoard!D11+SUBoard!D11+LCTCBoard!D11+Online!D11</f>
        <v>0</v>
      </c>
      <c r="E11" s="33">
        <f t="shared" si="0"/>
        <v>-118700</v>
      </c>
      <c r="F11" s="34">
        <f t="shared" si="1"/>
        <v>-1</v>
      </c>
    </row>
    <row r="12" spans="1:6" s="100" customFormat="1" ht="26.25">
      <c r="A12" s="39" t="s">
        <v>16</v>
      </c>
      <c r="B12" s="33">
        <f>BOR!B12+ULBoard!B12+SUBoard!B12+LCTCBoard!B12+Online!B12</f>
        <v>0</v>
      </c>
      <c r="C12" s="33">
        <f>BOR!C12+ULBoard!C12+SUBoard!C12+LCTCBoard!C12+Online!C12</f>
        <v>0</v>
      </c>
      <c r="D12" s="33">
        <f>BOR!D12+ULBoard!D12+SUBoard!D12+LCTCBoard!D12+Online!D12</f>
        <v>0</v>
      </c>
      <c r="E12" s="33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3">
        <f>BOR!B13+ULBoard!B13+SUBoard!B13+LCTCBoard!B13+Online!B13</f>
        <v>0</v>
      </c>
      <c r="C13" s="33">
        <f>BOR!C13+ULBoard!C13+SUBoard!C13+LCTCBoard!C13+Online!C13</f>
        <v>0</v>
      </c>
      <c r="D13" s="33">
        <f>BOR!D13+ULBoard!D13+SUBoard!D13+LCTCBoard!D13+Online!D13</f>
        <v>0</v>
      </c>
      <c r="E13" s="33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3">
        <f>BOR!B14+ULBoard!B14+SUBoard!B14+LCTCBoard!B14+Online!B14</f>
        <v>0</v>
      </c>
      <c r="C14" s="33">
        <f>BOR!C14+ULBoard!C14+SUBoard!C14+LCTCBoard!C14+Online!C14</f>
        <v>0</v>
      </c>
      <c r="D14" s="33">
        <f>BOR!D14+ULBoard!D14+SUBoard!D14+LCTCBoard!D14+Online!D14</f>
        <v>0</v>
      </c>
      <c r="E14" s="33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3">
        <f>BOR!B15+ULBoard!B15+SUBoard!B15+LCTCBoard!B15+Online!B15</f>
        <v>0</v>
      </c>
      <c r="C15" s="33">
        <f>BOR!C15+ULBoard!C15+SUBoard!C15+LCTCBoard!C15+Online!C15</f>
        <v>0</v>
      </c>
      <c r="D15" s="33">
        <f>BOR!D15+ULBoard!D15+SUBoard!D15+LCTCBoard!D15+Online!D15</f>
        <v>0</v>
      </c>
      <c r="E15" s="33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3">
        <f>BOR!B16+ULBoard!B16+SUBoard!B16+LCTCBoard!B16+Online!B16</f>
        <v>0</v>
      </c>
      <c r="C16" s="33">
        <f>BOR!C16+ULBoard!C16+SUBoard!C16+LCTCBoard!C16+Online!C16</f>
        <v>0</v>
      </c>
      <c r="D16" s="33">
        <f>BOR!D16+ULBoard!D16+SUBoard!D16+LCTCBoard!D16+Online!D16</f>
        <v>0</v>
      </c>
      <c r="E16" s="33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3">
        <f>BOR!B17+ULBoard!B17+SUBoard!B17+LCTCBoard!B17+Online!B17</f>
        <v>0</v>
      </c>
      <c r="C17" s="33">
        <f>BOR!C17+ULBoard!C17+SUBoard!C17+LCTCBoard!C17+Online!C17</f>
        <v>0</v>
      </c>
      <c r="D17" s="33">
        <f>BOR!D17+ULBoard!D17+SUBoard!D17+LCTCBoard!D17+Online!D17</f>
        <v>0</v>
      </c>
      <c r="E17" s="33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3">
        <f>BOR!B18+ULBoard!B18+SUBoard!B18+LCTCBoard!B18+Online!B18</f>
        <v>0</v>
      </c>
      <c r="C18" s="33">
        <f>BOR!C18+ULBoard!C18+SUBoard!C18+LCTCBoard!C18+Online!C18</f>
        <v>0</v>
      </c>
      <c r="D18" s="33">
        <f>BOR!D18+ULBoard!D18+SUBoard!D18+LCTCBoard!D18+Online!D18</f>
        <v>0</v>
      </c>
      <c r="E18" s="33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3">
        <f>BOR!B19+ULBoard!B19+SUBoard!B19+LCTCBoard!B19+Online!B19</f>
        <v>0</v>
      </c>
      <c r="C19" s="33">
        <f>BOR!C19+ULBoard!C19+SUBoard!C19+LCTCBoard!C19+Online!C19</f>
        <v>0</v>
      </c>
      <c r="D19" s="33">
        <f>BOR!D19+ULBoard!D19+SUBoard!D19+LCTCBoard!D19+Online!D19</f>
        <v>0</v>
      </c>
      <c r="E19" s="33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3">
        <f>BOR!B20+ULBoard!B20+SUBoard!B20+LCTCBoard!B20+Online!B20</f>
        <v>0</v>
      </c>
      <c r="C20" s="33">
        <f>BOR!C20+ULBoard!C20+SUBoard!C20+LCTCBoard!C20+Online!C20</f>
        <v>0</v>
      </c>
      <c r="D20" s="33">
        <f>BOR!D20+ULBoard!D20+SUBoard!D20+LCTCBoard!D20+Online!D20</f>
        <v>0</v>
      </c>
      <c r="E20" s="33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3">
        <f>BOR!B21+ULBoard!B21+SUBoard!B21+LCTCBoard!B21+Online!B21</f>
        <v>0</v>
      </c>
      <c r="C21" s="33">
        <f>BOR!C21+ULBoard!C21+SUBoard!C21+LCTCBoard!C21+Online!C21</f>
        <v>0</v>
      </c>
      <c r="D21" s="33">
        <f>BOR!D21+ULBoard!D21+SUBoard!D21+LCTCBoard!D21+Online!D21</f>
        <v>0</v>
      </c>
      <c r="E21" s="33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3">
        <f>BOR!B22+ULBoard!B22+SUBoard!B22+LCTCBoard!B22+Online!B22</f>
        <v>19695535</v>
      </c>
      <c r="C22" s="33">
        <f>BOR!C22+ULBoard!C22+SUBoard!C22+LCTCBoard!C22+Online!C22</f>
        <v>24230000</v>
      </c>
      <c r="D22" s="33">
        <f>BOR!D22+ULBoard!D22+SUBoard!D22+LCTCBoard!D22+Online!D22</f>
        <v>24230000</v>
      </c>
      <c r="E22" s="33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3">
        <f>BOR!B23+ULBoard!B23+SUBoard!B23+LCTCBoard!B23+Online!B23</f>
        <v>4622.35</v>
      </c>
      <c r="C23" s="33">
        <f>BOR!C23+ULBoard!C23+SUBoard!C23+LCTCBoard!C23+Online!C23</f>
        <v>200000</v>
      </c>
      <c r="D23" s="33">
        <f>BOR!D23+ULBoard!D23+SUBoard!D23+LCTCBoard!D23+Online!D23</f>
        <v>200000</v>
      </c>
      <c r="E23" s="33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3">
        <f>BOR!B24+ULBoard!B24+SUBoard!B24+LCTCBoard!B24+Online!B24</f>
        <v>10000000</v>
      </c>
      <c r="C24" s="33">
        <f>BOR!C24+ULBoard!C24+SUBoard!C24+LCTCBoard!C24+Online!C24</f>
        <v>10000000</v>
      </c>
      <c r="D24" s="33">
        <f>BOR!D24+ULBoard!D24+SUBoard!D24+LCTCBoard!D24+Online!D24</f>
        <v>10000000</v>
      </c>
      <c r="E24" s="33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3">
        <f>BOR!B25+ULBoard!B25+SUBoard!B25+LCTCBoard!B25+Online!B25</f>
        <v>0</v>
      </c>
      <c r="C25" s="33">
        <f>BOR!C25+ULBoard!C25+SUBoard!C25+LCTCBoard!C25+Online!C25</f>
        <v>0</v>
      </c>
      <c r="D25" s="33">
        <f>BOR!D25+ULBoard!D25+SUBoard!D25+LCTCBoard!D25+Online!D25</f>
        <v>0</v>
      </c>
      <c r="E25" s="33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3">
        <f>BOR!B26+ULBoard!B26+SUBoard!B26+LCTCBoard!B26+Online!B26</f>
        <v>0</v>
      </c>
      <c r="C26" s="33">
        <f>BOR!C26+ULBoard!C26+SUBoard!C26+LCTCBoard!C26+Online!C26</f>
        <v>0</v>
      </c>
      <c r="D26" s="33">
        <f>BOR!D26+ULBoard!D26+SUBoard!D26+LCTCBoard!D26+Online!D26</f>
        <v>0</v>
      </c>
      <c r="E26" s="33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3">
        <f>BOR!B27+ULBoard!B27+SUBoard!B27+LCTCBoard!B27+Online!B27</f>
        <v>0</v>
      </c>
      <c r="C27" s="33">
        <f>BOR!C27+ULBoard!C27+SUBoard!C27+LCTCBoard!C27+Online!C27</f>
        <v>0</v>
      </c>
      <c r="D27" s="33">
        <f>BOR!D27+ULBoard!D27+SUBoard!D27+LCTCBoard!D27+Online!D27</f>
        <v>0</v>
      </c>
      <c r="E27" s="33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3">
        <f>BOR!B28+ULBoard!B28+SUBoard!B28+LCTCBoard!B28+Online!B28</f>
        <v>200000</v>
      </c>
      <c r="C28" s="33">
        <f>BOR!C28+ULBoard!C28+SUBoard!C28+LCTCBoard!C28+Online!C28</f>
        <v>200000</v>
      </c>
      <c r="D28" s="33">
        <f>BOR!D28+ULBoard!D28+SUBoard!D28+LCTCBoard!D28+Online!D28</f>
        <v>200000</v>
      </c>
      <c r="E28" s="33">
        <f t="shared" si="0"/>
        <v>0</v>
      </c>
      <c r="F28" s="34">
        <f t="shared" si="1"/>
        <v>0</v>
      </c>
    </row>
    <row r="29" spans="1:6" s="100" customFormat="1" ht="26.25">
      <c r="A29" s="40" t="s">
        <v>32</v>
      </c>
      <c r="B29" s="33">
        <f>BOR!B29+ULBoard!B29+SUBoard!B29+LCTCBoard!B29+Online!B29</f>
        <v>0</v>
      </c>
      <c r="C29" s="33">
        <f>BOR!C29+ULBoard!C29+SUBoard!C29+LCTCBoard!C29+Online!C29</f>
        <v>0</v>
      </c>
      <c r="D29" s="33">
        <f>BOR!D29+ULBoard!D29+SUBoard!D29+LCTCBoard!D29+Online!D29</f>
        <v>0</v>
      </c>
      <c r="E29" s="33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f>BOR!B31+ULBoard!B31+SUBoard!B31+LCTCBoard!B31+Online!B31</f>
        <v>0</v>
      </c>
      <c r="C31" s="33">
        <f>BOR!C31+ULBoard!C31+SUBoard!C31+LCTCBoard!C31+Online!C31</f>
        <v>0</v>
      </c>
      <c r="D31" s="33">
        <f>BOR!D31+ULBoard!D31+SUBoard!D31+LCTCBoard!D31+Online!D31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33">
        <f>BOR!B33+ULBoard!B33+SUBoard!B33+LCTCBoard!B33+Online!B33</f>
        <v>0</v>
      </c>
      <c r="C33" s="33">
        <f>BOR!C33+ULBoard!C33+SUBoard!C33+LCTCBoard!C33+Online!C33</f>
        <v>0</v>
      </c>
      <c r="D33" s="33">
        <f>BOR!D33+ULBoard!D33+SUBoard!D33+LCTCBoard!D33+Online!D33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6"/>
      <c r="C34" s="36"/>
      <c r="D34" s="36"/>
      <c r="E34" s="36"/>
      <c r="F34" s="34" t="s">
        <v>37</v>
      </c>
    </row>
    <row r="35" spans="1:6" s="102" customFormat="1" ht="26.25">
      <c r="A35" s="43" t="s">
        <v>38</v>
      </c>
      <c r="B35" s="52">
        <f>BOR!B35+ULBoard!B35+SUBoard!B35+LCTCBoard!B35+Online!B35</f>
        <v>55835599.35</v>
      </c>
      <c r="C35" s="52">
        <f>BOR!C35+ULBoard!C35+SUBoard!C35+LCTCBoard!C35+Online!C35</f>
        <v>61123584</v>
      </c>
      <c r="D35" s="52">
        <f>BOR!D35+ULBoard!D35+SUBoard!D35+LCTCBoard!D35+Online!D35</f>
        <v>59771986</v>
      </c>
      <c r="E35" s="52">
        <f>D35-C35</f>
        <v>-1351598</v>
      </c>
      <c r="F35" s="45">
        <f>IF(ISBLANK(E35),"  ",IF(C35&gt;0,E35/C35,IF(E35&gt;0,1,0)))</f>
        <v>-0.022112544971184936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f>BOR!B37+ULBoard!B37+SUBoard!B37+LCTCBoard!B37+Online!B37</f>
        <v>0</v>
      </c>
      <c r="C37" s="33">
        <f>BOR!C37+ULBoard!C37+SUBoard!C37+LCTCBoard!C37+Online!C37</f>
        <v>0</v>
      </c>
      <c r="D37" s="33">
        <f>BOR!D37+ULBoard!D37+SUBoard!D37+LCTCBoard!D37+Online!D37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f>BOR!B38+ULBoard!B38+SUBoard!B38+LCTCBoard!B38+Online!B38</f>
        <v>0</v>
      </c>
      <c r="C38" s="33">
        <f>BOR!C38+ULBoard!C38+SUBoard!C38+LCTCBoard!C38+Online!C38</f>
        <v>0</v>
      </c>
      <c r="D38" s="33">
        <f>BOR!D38+ULBoard!D38+SUBoard!D38+LCTCBoard!D38+Online!D38</f>
        <v>0</v>
      </c>
      <c r="E38" s="33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f>BOR!B39+ULBoard!B39+SUBoard!B39+LCTCBoard!B39+Online!B39</f>
        <v>0</v>
      </c>
      <c r="C39" s="33">
        <f>BOR!C39+ULBoard!C39+SUBoard!C39+LCTCBoard!C39+Online!C39</f>
        <v>0</v>
      </c>
      <c r="D39" s="33">
        <f>BOR!D39+ULBoard!D39+SUBoard!D39+LCTCBoard!D39+Online!D39</f>
        <v>0</v>
      </c>
      <c r="E39" s="33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f>BOR!B40+ULBoard!B40+SUBoard!B40+LCTCBoard!B40+Online!B40</f>
        <v>0</v>
      </c>
      <c r="C40" s="33">
        <f>BOR!C40+ULBoard!C40+SUBoard!C40+LCTCBoard!C40+Online!C40</f>
        <v>0</v>
      </c>
      <c r="D40" s="33">
        <f>BOR!D40+ULBoard!D40+SUBoard!D40+LCTCBoard!D40+Online!D40</f>
        <v>0</v>
      </c>
      <c r="E40" s="33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f>BOR!B41+ULBoard!B41+SUBoard!B41+LCTCBoard!B41+Online!B41</f>
        <v>0</v>
      </c>
      <c r="C41" s="33">
        <f>BOR!C41+ULBoard!C41+SUBoard!C41+LCTCBoard!C41+Online!C41</f>
        <v>0</v>
      </c>
      <c r="D41" s="33">
        <f>BOR!D41+ULBoard!D41+SUBoard!D41+LCTCBoard!D41+Online!D41</f>
        <v>0</v>
      </c>
      <c r="E41" s="33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2">
        <f>BOR!B42+ULBoard!B42+SUBoard!B42+LCTCBoard!B42+Online!B42</f>
        <v>0</v>
      </c>
      <c r="C42" s="52">
        <f>BOR!C42+ULBoard!C42+SUBoard!C42+LCTCBoard!C42+Online!C42</f>
        <v>0</v>
      </c>
      <c r="D42" s="52">
        <f>BOR!D42+ULBoard!D42+SUBoard!D42+LCTCBoard!D42+Online!D42</f>
        <v>0</v>
      </c>
      <c r="E42" s="52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f>BOR!B44+ULBoard!B44+SUBoard!B44+LCTCBoard!B44+Online!B44</f>
        <v>1615100.82</v>
      </c>
      <c r="C44" s="52">
        <f>BOR!C44+ULBoard!C44+SUBoard!C44+LCTCBoard!C44+Online!C44</f>
        <v>11500000</v>
      </c>
      <c r="D44" s="52">
        <f>BOR!D44+ULBoard!D44+SUBoard!D44+LCTCBoard!D44+Online!D44</f>
        <v>11500000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f>BOR!B46+ULBoard!B46+SUBoard!B46+LCTCBoard!B46+Online!B46</f>
        <v>0</v>
      </c>
      <c r="C46" s="52">
        <f>BOR!C46+ULBoard!C46+SUBoard!C46+LCTCBoard!C46+Online!C46</f>
        <v>0</v>
      </c>
      <c r="D46" s="52">
        <f>BOR!D46+ULBoard!D46+SUBoard!D46+LCTCBoard!D46+Online!D46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2">
        <f>BOR!B48+ULBoard!B48+SUBoard!B48+LCTCBoard!B48+Online!B48</f>
        <v>2779879.58</v>
      </c>
      <c r="C48" s="52">
        <f>BOR!C48+ULBoard!C48+SUBoard!C48+LCTCBoard!C48+Online!C48</f>
        <v>5144299</v>
      </c>
      <c r="D48" s="52">
        <f>BOR!D48+ULBoard!D48+SUBoard!D48+LCTCBoard!D48+Online!D48</f>
        <v>5144299</v>
      </c>
      <c r="E48" s="52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2">
        <f>BOR!B50+ULBoard!B50+SUBoard!B50+LCTCBoard!B50+Online!B50</f>
        <v>9988075</v>
      </c>
      <c r="C50" s="52">
        <f>BOR!C50+ULBoard!C50+SUBoard!C50+LCTCBoard!C50+Online!C50</f>
        <v>12172314</v>
      </c>
      <c r="D50" s="52">
        <f>BOR!D50+ULBoard!D50+SUBoard!D50+LCTCBoard!D50+Online!D50</f>
        <v>12172314</v>
      </c>
      <c r="E50" s="52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2">
        <f>BOR!B52+ULBoard!B52+SUBoard!B52+LCTCBoard!B52+Online!B52</f>
        <v>0</v>
      </c>
      <c r="C52" s="52">
        <f>BOR!C52+ULBoard!C52+SUBoard!C52+LCTCBoard!C52+Online!C52</f>
        <v>0</v>
      </c>
      <c r="D52" s="52">
        <f>BOR!D52+ULBoard!D52+SUBoard!D52+LCTCBoard!D52+Online!D52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2">
        <f>B52+B50+B48+B46+B44+-B42+B35</f>
        <v>70218654.75</v>
      </c>
      <c r="C54" s="52">
        <f>C52+C50+C48+C46+C44+-C42+C35</f>
        <v>89940197</v>
      </c>
      <c r="D54" s="52">
        <f>D52+D50+D48+D46+D44+-D42+D35</f>
        <v>88588599</v>
      </c>
      <c r="E54" s="52">
        <f>D54-C54</f>
        <v>-1351598</v>
      </c>
      <c r="F54" s="45">
        <f>IF(ISBLANK(E54),"  ",IF(C54&gt;0,E54/C54,IF(E54&gt;0,1,0)))</f>
        <v>-0.01502774115560365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33">
        <f>BOR!B58+ULBoard!B58+SUBoard!B58+LCTCBoard!B58+Online!B58</f>
        <v>0</v>
      </c>
      <c r="C58" s="33">
        <f>BOR!C58+ULBoard!C58+SUBoard!C58+LCTCBoard!C58+Online!C58</f>
        <v>0</v>
      </c>
      <c r="D58" s="33">
        <f>BOR!D58+ULBoard!D58+SUBoard!D58+LCTCBoard!D58+Online!D58</f>
        <v>0</v>
      </c>
      <c r="E58" s="33">
        <f aca="true" t="shared" si="4" ref="E58:E70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3">
        <f>BOR!B59+ULBoard!B59+SUBoard!B59+LCTCBoard!B59+Online!B59</f>
        <v>0</v>
      </c>
      <c r="C59" s="33">
        <f>BOR!C59+ULBoard!C59+SUBoard!C59+LCTCBoard!C59+Online!C59</f>
        <v>0</v>
      </c>
      <c r="D59" s="33">
        <f>BOR!D59+ULBoard!D59+SUBoard!D59+LCTCBoard!D59+Online!D59</f>
        <v>0</v>
      </c>
      <c r="E59" s="33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3">
        <f>BOR!B60+ULBoard!B60+SUBoard!B60+LCTCBoard!B60+Online!B60</f>
        <v>0</v>
      </c>
      <c r="C60" s="33">
        <f>BOR!C60+ULBoard!C60+SUBoard!C60+LCTCBoard!C60+Online!C60</f>
        <v>0</v>
      </c>
      <c r="D60" s="33">
        <f>BOR!D60+ULBoard!D60+SUBoard!D60+LCTCBoard!D60+Online!D60</f>
        <v>0</v>
      </c>
      <c r="E60" s="33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3">
        <f>BOR!B61+ULBoard!B61+SUBoard!B61+LCTCBoard!B61+Online!B61</f>
        <v>3807872.82</v>
      </c>
      <c r="C61" s="33">
        <f>BOR!C61+ULBoard!C61+SUBoard!C61+LCTCBoard!C61+Online!C61</f>
        <v>3822424.1799999997</v>
      </c>
      <c r="D61" s="33">
        <f>BOR!D61+ULBoard!D61+SUBoard!D61+LCTCBoard!D61+Online!D61</f>
        <v>3834046.1799999997</v>
      </c>
      <c r="E61" s="33">
        <f t="shared" si="4"/>
        <v>11622</v>
      </c>
      <c r="F61" s="34">
        <f t="shared" si="5"/>
        <v>0.0030404788826968966</v>
      </c>
    </row>
    <row r="62" spans="1:6" s="100" customFormat="1" ht="26.25">
      <c r="A62" s="39" t="s">
        <v>58</v>
      </c>
      <c r="B62" s="33">
        <f>BOR!B62+ULBoard!B62+SUBoard!B62+LCTCBoard!B62+Online!B62</f>
        <v>0</v>
      </c>
      <c r="C62" s="33">
        <f>BOR!C62+ULBoard!C62+SUBoard!C62+LCTCBoard!C62+Online!C62</f>
        <v>0</v>
      </c>
      <c r="D62" s="33">
        <f>BOR!D62+ULBoard!D62+SUBoard!D62+LCTCBoard!D62+Online!D62</f>
        <v>0</v>
      </c>
      <c r="E62" s="33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3">
        <f>BOR!B63+ULBoard!B63+SUBoard!B63+LCTCBoard!B63+Online!B63</f>
        <v>55849091.96</v>
      </c>
      <c r="C63" s="33">
        <f>BOR!C63+ULBoard!C63+SUBoard!C63+LCTCBoard!C63+Online!C63</f>
        <v>75556083</v>
      </c>
      <c r="D63" s="33">
        <f>BOR!D63+ULBoard!D63+SUBoard!D63+LCTCBoard!D63+Online!D63</f>
        <v>74173323.82</v>
      </c>
      <c r="E63" s="33">
        <f t="shared" si="4"/>
        <v>-1382759.1800000072</v>
      </c>
      <c r="F63" s="34">
        <f t="shared" si="5"/>
        <v>-0.01830109668337369</v>
      </c>
    </row>
    <row r="64" spans="1:6" s="100" customFormat="1" ht="26.25">
      <c r="A64" s="39" t="s">
        <v>60</v>
      </c>
      <c r="B64" s="33">
        <f>BOR!B64+ULBoard!B64+SUBoard!B64+LCTCBoard!B64+Online!B64</f>
        <v>0</v>
      </c>
      <c r="C64" s="33">
        <f>BOR!C64+ULBoard!C64+SUBoard!C64+LCTCBoard!C64+Online!C64</f>
        <v>0</v>
      </c>
      <c r="D64" s="33">
        <f>BOR!D64+ULBoard!D64+SUBoard!D64+LCTCBoard!D64+Online!D64</f>
        <v>0</v>
      </c>
      <c r="E64" s="33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3">
        <f>BOR!B65+ULBoard!B65+SUBoard!B65+LCTCBoard!B65+Online!B65</f>
        <v>0</v>
      </c>
      <c r="C65" s="33">
        <f>BOR!C65+ULBoard!C65+SUBoard!C65+LCTCBoard!C65+Online!C65</f>
        <v>0</v>
      </c>
      <c r="D65" s="33">
        <f>BOR!D65+ULBoard!D65+SUBoard!D65+LCTCBoard!D65+Online!D65</f>
        <v>0</v>
      </c>
      <c r="E65" s="33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52">
        <f>SUM(B58:B65)</f>
        <v>59656964.78</v>
      </c>
      <c r="C66" s="52">
        <f>SUM(C58:C65)</f>
        <v>79378507.18</v>
      </c>
      <c r="D66" s="52">
        <f>SUM(D58:D65)</f>
        <v>78007370</v>
      </c>
      <c r="E66" s="52">
        <f t="shared" si="4"/>
        <v>-1371137.1800000072</v>
      </c>
      <c r="F66" s="45">
        <f t="shared" si="5"/>
        <v>-0.01727340597235967</v>
      </c>
    </row>
    <row r="67" spans="1:6" s="100" customFormat="1" ht="26.25">
      <c r="A67" s="39" t="s">
        <v>63</v>
      </c>
      <c r="B67" s="33">
        <f>BOR!B67+ULBoard!B67+SUBoard!B67+LCTCBoard!B67+Online!B67</f>
        <v>0</v>
      </c>
      <c r="C67" s="33">
        <f>BOR!C67+ULBoard!C67+SUBoard!C67+LCTCBoard!C67+Online!C67</f>
        <v>0</v>
      </c>
      <c r="D67" s="33">
        <f>BOR!D67+ULBoard!D67+SUBoard!D67+LCTCBoard!D67+Online!D67</f>
        <v>0</v>
      </c>
      <c r="E67" s="33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3">
        <f>BOR!B68+ULBoard!B68+SUBoard!B68+LCTCBoard!B68+Online!B68</f>
        <v>561689.7</v>
      </c>
      <c r="C68" s="33">
        <f>BOR!C68+ULBoard!C68+SUBoard!C68+LCTCBoard!C68+Online!C68</f>
        <v>561689.7</v>
      </c>
      <c r="D68" s="33">
        <f>BOR!D68+ULBoard!D68+SUBoard!D68+LCTCBoard!D68+Online!D68</f>
        <v>581229</v>
      </c>
      <c r="E68" s="33">
        <f t="shared" si="4"/>
        <v>19539.300000000047</v>
      </c>
      <c r="F68" s="34">
        <f t="shared" si="5"/>
        <v>0.03478664465451307</v>
      </c>
    </row>
    <row r="69" spans="1:6" s="100" customFormat="1" ht="26.25">
      <c r="A69" s="39" t="s">
        <v>65</v>
      </c>
      <c r="B69" s="33">
        <f>BOR!B69+ULBoard!B69+SUBoard!B69+LCTCBoard!B69+Online!B69</f>
        <v>0</v>
      </c>
      <c r="C69" s="33">
        <f>BOR!C69+ULBoard!C69+SUBoard!C69+LCTCBoard!C69+Online!C69</f>
        <v>0</v>
      </c>
      <c r="D69" s="33">
        <f>BOR!D69+ULBoard!D69+SUBoard!D69+LCTCBoard!D69+Online!D69</f>
        <v>0</v>
      </c>
      <c r="E69" s="33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3">
        <f>BOR!B70+ULBoard!B70+SUBoard!B70+LCTCBoard!B70+Online!B70</f>
        <v>10000000</v>
      </c>
      <c r="C70" s="33">
        <f>BOR!C70+ULBoard!C70+SUBoard!C70+LCTCBoard!C70+Online!C70</f>
        <v>10000000</v>
      </c>
      <c r="D70" s="33">
        <f>BOR!D70+ULBoard!D70+SUBoard!D70+LCTCBoard!D70+Online!D70</f>
        <v>10000000</v>
      </c>
      <c r="E70" s="33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52">
        <f>SUM(B66:B70)+1</f>
        <v>70218655.48</v>
      </c>
      <c r="C71" s="52">
        <f>SUM(C66:C70)</f>
        <v>89940196.88000001</v>
      </c>
      <c r="D71" s="52">
        <f>SUM(D66:D70)</f>
        <v>88588599</v>
      </c>
      <c r="E71" s="52">
        <f>D71-C71</f>
        <v>-1351597.8800000101</v>
      </c>
      <c r="F71" s="45">
        <f t="shared" si="5"/>
        <v>-0.015027739841434178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f>BOR!B74+ULBoard!B74+SUBoard!B74+LCTCBoard!B74+Online!B74</f>
        <v>9904360.81</v>
      </c>
      <c r="C74" s="33">
        <f>BOR!C74+ULBoard!C74+SUBoard!C74+LCTCBoard!C74+Online!C74</f>
        <v>10197510</v>
      </c>
      <c r="D74" s="33">
        <f>BOR!D74+ULBoard!D74+SUBoard!D74+LCTCBoard!D74+Online!D74</f>
        <v>11654746.745530456</v>
      </c>
      <c r="E74" s="33">
        <f aca="true" t="shared" si="6" ref="E74:E91">D74-C74</f>
        <v>1457236.7455304563</v>
      </c>
      <c r="F74" s="34">
        <f aca="true" t="shared" si="7" ref="F74:F92">IF(ISBLANK(E74),"  ",IF(C74&gt;0,E74/C74,IF(E74&gt;0,1,0)))</f>
        <v>0.14290123231361934</v>
      </c>
    </row>
    <row r="75" spans="1:6" s="100" customFormat="1" ht="26.25">
      <c r="A75" s="39" t="s">
        <v>70</v>
      </c>
      <c r="B75" s="33">
        <f>BOR!B75+ULBoard!B75+SUBoard!B75+LCTCBoard!B75+Online!B75</f>
        <v>144483.22999999998</v>
      </c>
      <c r="C75" s="33">
        <f>BOR!C75+ULBoard!C75+SUBoard!C75+LCTCBoard!C75+Online!C75</f>
        <v>122151</v>
      </c>
      <c r="D75" s="33">
        <f>BOR!D75+ULBoard!D75+SUBoard!D75+LCTCBoard!D75+Online!D75</f>
        <v>134087</v>
      </c>
      <c r="E75" s="33">
        <f t="shared" si="6"/>
        <v>11936</v>
      </c>
      <c r="F75" s="34">
        <f t="shared" si="7"/>
        <v>0.09771512308536157</v>
      </c>
    </row>
    <row r="76" spans="1:6" s="100" customFormat="1" ht="26.25">
      <c r="A76" s="39" t="s">
        <v>71</v>
      </c>
      <c r="B76" s="33">
        <f>BOR!B76+ULBoard!B76+SUBoard!B76+LCTCBoard!B76+Online!B76</f>
        <v>4071028.28</v>
      </c>
      <c r="C76" s="33">
        <f>BOR!C76+ULBoard!C76+SUBoard!C76+LCTCBoard!C76+Online!C76</f>
        <v>4492258</v>
      </c>
      <c r="D76" s="33">
        <f>BOR!D76+ULBoard!D76+SUBoard!D76+LCTCBoard!D76+Online!D76</f>
        <v>5049950.074469543</v>
      </c>
      <c r="E76" s="33">
        <f t="shared" si="6"/>
        <v>557692.0744695431</v>
      </c>
      <c r="F76" s="34">
        <f t="shared" si="7"/>
        <v>0.12414515694992208</v>
      </c>
    </row>
    <row r="77" spans="1:6" s="102" customFormat="1" ht="26.25">
      <c r="A77" s="59" t="s">
        <v>72</v>
      </c>
      <c r="B77" s="52">
        <f>SUM(B74:B76)</f>
        <v>14119872.32</v>
      </c>
      <c r="C77" s="52">
        <f>SUM(C74:C76)</f>
        <v>14811919</v>
      </c>
      <c r="D77" s="52">
        <f>SUM(D74:D76)</f>
        <v>16838783.82</v>
      </c>
      <c r="E77" s="52">
        <f t="shared" si="6"/>
        <v>2026864.8200000003</v>
      </c>
      <c r="F77" s="45">
        <f t="shared" si="7"/>
        <v>0.13684012314677121</v>
      </c>
    </row>
    <row r="78" spans="1:6" s="100" customFormat="1" ht="26.25">
      <c r="A78" s="39" t="s">
        <v>73</v>
      </c>
      <c r="B78" s="33">
        <f>BOR!B78+ULBoard!B78+SUBoard!B78+LCTCBoard!B78+Online!B78</f>
        <v>184125.06</v>
      </c>
      <c r="C78" s="33">
        <f>BOR!C78+ULBoard!C78+SUBoard!C78+LCTCBoard!C78+Online!C78</f>
        <v>281554</v>
      </c>
      <c r="D78" s="33">
        <f>BOR!D78+ULBoard!D78+SUBoard!D78+LCTCBoard!D78+Online!D78</f>
        <v>302850</v>
      </c>
      <c r="E78" s="33">
        <f t="shared" si="6"/>
        <v>21296</v>
      </c>
      <c r="F78" s="34">
        <f t="shared" si="7"/>
        <v>0.07563735553392954</v>
      </c>
    </row>
    <row r="79" spans="1:6" s="100" customFormat="1" ht="26.25">
      <c r="A79" s="39" t="s">
        <v>74</v>
      </c>
      <c r="B79" s="33">
        <f>BOR!B79+ULBoard!B79+SUBoard!B79+LCTCBoard!B79+Online!B79</f>
        <v>3110624.12</v>
      </c>
      <c r="C79" s="33">
        <f>BOR!C79+ULBoard!C79+SUBoard!C79+LCTCBoard!C79+Online!C79</f>
        <v>2786953</v>
      </c>
      <c r="D79" s="33">
        <f>BOR!D79+ULBoard!D79+SUBoard!D79+LCTCBoard!D79+Online!D79</f>
        <v>6402957</v>
      </c>
      <c r="E79" s="33">
        <f t="shared" si="6"/>
        <v>3616004</v>
      </c>
      <c r="F79" s="34">
        <f t="shared" si="7"/>
        <v>1.2974757737213365</v>
      </c>
    </row>
    <row r="80" spans="1:6" s="100" customFormat="1" ht="26.25">
      <c r="A80" s="39" t="s">
        <v>75</v>
      </c>
      <c r="B80" s="33">
        <f>BOR!B80+ULBoard!B80+SUBoard!B80+LCTCBoard!B80+Online!B80</f>
        <v>86363.44</v>
      </c>
      <c r="C80" s="33">
        <f>BOR!C80+ULBoard!C80+SUBoard!C80+LCTCBoard!C80+Online!C80</f>
        <v>126924</v>
      </c>
      <c r="D80" s="33">
        <f>BOR!D80+ULBoard!D80+SUBoard!D80+LCTCBoard!D80+Online!D80</f>
        <v>143661</v>
      </c>
      <c r="E80" s="33">
        <f t="shared" si="6"/>
        <v>16737</v>
      </c>
      <c r="F80" s="34">
        <f t="shared" si="7"/>
        <v>0.13186631369953672</v>
      </c>
    </row>
    <row r="81" spans="1:6" s="102" customFormat="1" ht="26.25">
      <c r="A81" s="42" t="s">
        <v>76</v>
      </c>
      <c r="B81" s="52">
        <f>SUM(B78:B80)</f>
        <v>3381112.62</v>
      </c>
      <c r="C81" s="52">
        <f>SUM(C78:C80)</f>
        <v>3195431</v>
      </c>
      <c r="D81" s="52">
        <f>SUM(D78:D80)</f>
        <v>6849468</v>
      </c>
      <c r="E81" s="52">
        <f t="shared" si="6"/>
        <v>3654037</v>
      </c>
      <c r="F81" s="45">
        <f t="shared" si="7"/>
        <v>1.1435192936414524</v>
      </c>
    </row>
    <row r="82" spans="1:6" s="100" customFormat="1" ht="26.25">
      <c r="A82" s="39" t="s">
        <v>77</v>
      </c>
      <c r="B82" s="33">
        <f>BOR!B82+ULBoard!B82+SUBoard!B82+LCTCBoard!B82+Online!B82</f>
        <v>829562.94</v>
      </c>
      <c r="C82" s="33">
        <f>BOR!C82+ULBoard!C82+SUBoard!C82+LCTCBoard!C82+Online!C82</f>
        <v>1615925</v>
      </c>
      <c r="D82" s="33">
        <f>BOR!D82+ULBoard!D82+SUBoard!D82+LCTCBoard!D82+Online!D82</f>
        <v>1459817</v>
      </c>
      <c r="E82" s="33">
        <f t="shared" si="6"/>
        <v>-156108</v>
      </c>
      <c r="F82" s="34">
        <f t="shared" si="7"/>
        <v>-0.09660596871760756</v>
      </c>
    </row>
    <row r="83" spans="1:6" s="100" customFormat="1" ht="26.25">
      <c r="A83" s="39" t="s">
        <v>78</v>
      </c>
      <c r="B83" s="33">
        <f>BOR!B83+ULBoard!B83+SUBoard!B83+LCTCBoard!B83+Online!B83</f>
        <v>46427133.18</v>
      </c>
      <c r="C83" s="33">
        <f>BOR!C83+ULBoard!C83+SUBoard!C83+LCTCBoard!C83+Online!C83</f>
        <v>64927434.18</v>
      </c>
      <c r="D83" s="33">
        <f>BOR!D83+ULBoard!D83+SUBoard!D83+LCTCBoard!D83+Online!D83</f>
        <v>60755165.18</v>
      </c>
      <c r="E83" s="33">
        <f t="shared" si="6"/>
        <v>-4172269</v>
      </c>
      <c r="F83" s="34">
        <f t="shared" si="7"/>
        <v>-0.06426049408379686</v>
      </c>
    </row>
    <row r="84" spans="1:6" s="100" customFormat="1" ht="26.25">
      <c r="A84" s="39" t="s">
        <v>79</v>
      </c>
      <c r="B84" s="33">
        <f>BOR!B84+ULBoard!B84+SUBoard!B84+LCTCBoard!B84+Online!B84</f>
        <v>0</v>
      </c>
      <c r="C84" s="33">
        <f>BOR!C84+ULBoard!C84+SUBoard!C84+LCTCBoard!C84+Online!C84</f>
        <v>0</v>
      </c>
      <c r="D84" s="33">
        <f>BOR!D84+ULBoard!D84+SUBoard!D84+LCTCBoard!D84+Online!D84</f>
        <v>0</v>
      </c>
      <c r="E84" s="33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3">
        <f>BOR!B85+ULBoard!B85+SUBoard!B85+LCTCBoard!B85+Online!B85</f>
        <v>5081792.41</v>
      </c>
      <c r="C85" s="33">
        <f>BOR!C85+ULBoard!C85+SUBoard!C85+LCTCBoard!C85+Online!C85</f>
        <v>4887045.7</v>
      </c>
      <c r="D85" s="33">
        <f>BOR!D85+ULBoard!D85+SUBoard!D85+LCTCBoard!D85+Online!D85</f>
        <v>2408999</v>
      </c>
      <c r="E85" s="33">
        <f t="shared" si="6"/>
        <v>-2478046.7</v>
      </c>
      <c r="F85" s="34">
        <f t="shared" si="7"/>
        <v>-0.5070643599670042</v>
      </c>
    </row>
    <row r="86" spans="1:6" s="102" customFormat="1" ht="26.25">
      <c r="A86" s="42" t="s">
        <v>81</v>
      </c>
      <c r="B86" s="52">
        <f>SUM(B82:B85)</f>
        <v>52338488.53</v>
      </c>
      <c r="C86" s="52">
        <f>SUM(C82:C85)</f>
        <v>71430404.88</v>
      </c>
      <c r="D86" s="52">
        <f>SUM(D82:D85)</f>
        <v>64623981.18</v>
      </c>
      <c r="E86" s="52">
        <f t="shared" si="6"/>
        <v>-6806423.6999999955</v>
      </c>
      <c r="F86" s="45">
        <f t="shared" si="7"/>
        <v>-0.09528748593031909</v>
      </c>
    </row>
    <row r="87" spans="1:6" s="100" customFormat="1" ht="26.25">
      <c r="A87" s="39" t="s">
        <v>82</v>
      </c>
      <c r="B87" s="33">
        <f>BOR!B87+ULBoard!B87+SUBoard!B87+LCTCBoard!B87+Online!B87</f>
        <v>379181.01</v>
      </c>
      <c r="C87" s="33">
        <f>BOR!C87+ULBoard!C87+SUBoard!C87+LCTCBoard!C87+Online!C87</f>
        <v>502442</v>
      </c>
      <c r="D87" s="33">
        <f>BOR!D87+ULBoard!D87+SUBoard!D87+LCTCBoard!D87+Online!D87</f>
        <v>276366</v>
      </c>
      <c r="E87" s="33">
        <f t="shared" si="6"/>
        <v>-226076</v>
      </c>
      <c r="F87" s="34">
        <f t="shared" si="7"/>
        <v>-0.4499544226000215</v>
      </c>
    </row>
    <row r="88" spans="1:6" s="100" customFormat="1" ht="26.25">
      <c r="A88" s="39" t="s">
        <v>83</v>
      </c>
      <c r="B88" s="33">
        <f>BOR!B88+ULBoard!B88+SUBoard!B88+LCTCBoard!B88+Online!B88</f>
        <v>0</v>
      </c>
      <c r="C88" s="33">
        <f>BOR!C88+ULBoard!C88+SUBoard!C88+LCTCBoard!C88+Online!C88</f>
        <v>0</v>
      </c>
      <c r="D88" s="33">
        <f>BOR!D88+ULBoard!D88+SUBoard!D88+LCTCBoard!D88+Online!D88</f>
        <v>0</v>
      </c>
      <c r="E88" s="33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3">
        <f>BOR!B89+ULBoard!B89+SUBoard!B89+LCTCBoard!B89+Online!B89</f>
        <v>0</v>
      </c>
      <c r="C89" s="33">
        <f>BOR!C89+ULBoard!C89+SUBoard!C89+LCTCBoard!C89+Online!C89</f>
        <v>0</v>
      </c>
      <c r="D89" s="33">
        <f>BOR!D89+ULBoard!D89+SUBoard!D89+LCTCBoard!D89+Online!D89</f>
        <v>0</v>
      </c>
      <c r="E89" s="33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52">
        <f>SUM(B87:B89)</f>
        <v>379181.01</v>
      </c>
      <c r="C90" s="52">
        <f>SUM(C87:C89)</f>
        <v>502442</v>
      </c>
      <c r="D90" s="52">
        <f>SUM(D87:D89)</f>
        <v>276366</v>
      </c>
      <c r="E90" s="52">
        <f t="shared" si="6"/>
        <v>-226076</v>
      </c>
      <c r="F90" s="45">
        <f t="shared" si="7"/>
        <v>-0.4499544226000215</v>
      </c>
    </row>
    <row r="91" spans="1:6" s="100" customFormat="1" ht="26.25">
      <c r="A91" s="48" t="s">
        <v>86</v>
      </c>
      <c r="B91" s="33">
        <f>BOR!B91+ULBoard!B91+SUBoard!B91+LCTCBoard!B91+Online!B91</f>
        <v>0</v>
      </c>
      <c r="C91" s="33">
        <f>BOR!C91+ULBoard!C91+SUBoard!C91+LCTCBoard!C91+Online!C91</f>
        <v>0</v>
      </c>
      <c r="D91" s="33">
        <f>BOR!D91+ULBoard!D91+SUBoard!D91+LCTCBoard!D91+Online!D91</f>
        <v>0</v>
      </c>
      <c r="E91" s="33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85">
        <f>B91+B90+B86+B81+B77+1</f>
        <v>70218655.47999999</v>
      </c>
      <c r="C92" s="85">
        <f>C91+C90+C86+C81+C77</f>
        <v>89940196.88</v>
      </c>
      <c r="D92" s="85">
        <f>D91+D90+D86+D81+D77</f>
        <v>88588599</v>
      </c>
      <c r="E92" s="68">
        <f>D92-C92</f>
        <v>-1351597.8799999952</v>
      </c>
      <c r="F92" s="69">
        <f t="shared" si="7"/>
        <v>-0.015027739841434015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48" t="s">
        <v>116</v>
      </c>
      <c r="E1" s="147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12044134</v>
      </c>
      <c r="C8" s="33">
        <v>12044134</v>
      </c>
      <c r="D8" s="33">
        <v>12329806</v>
      </c>
      <c r="E8" s="33">
        <f aca="true" t="shared" si="0" ref="E8:E29">D8-C8</f>
        <v>285672</v>
      </c>
      <c r="F8" s="34">
        <f aca="true" t="shared" si="1" ref="F8:F29">IF(ISBLANK(E8),"  ",IF(C8&gt;0,E8/C8,IF(E8&gt;0,1,0)))</f>
        <v>0.02371876633056391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598985</v>
      </c>
      <c r="C10" s="36">
        <v>691090</v>
      </c>
      <c r="D10" s="36">
        <v>670250</v>
      </c>
      <c r="E10" s="36">
        <f t="shared" si="0"/>
        <v>-20840</v>
      </c>
      <c r="F10" s="34">
        <f t="shared" si="1"/>
        <v>-0.030155261977455904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598985</v>
      </c>
      <c r="C12" s="38">
        <v>691090</v>
      </c>
      <c r="D12" s="38">
        <v>670250</v>
      </c>
      <c r="E12" s="36">
        <f t="shared" si="0"/>
        <v>-20840</v>
      </c>
      <c r="F12" s="34">
        <f t="shared" si="1"/>
        <v>-0.030155261977455904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12643119</v>
      </c>
      <c r="C35" s="44">
        <v>12735224</v>
      </c>
      <c r="D35" s="44">
        <v>13000056</v>
      </c>
      <c r="E35" s="44">
        <f>D35-C35</f>
        <v>264832</v>
      </c>
      <c r="F35" s="45">
        <f>IF(ISBLANK(E35),"  ",IF(C35&gt;0,E35/C35,IF(E35&gt;0,1,0)))</f>
        <v>0.02079523689571538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16374846</v>
      </c>
      <c r="C48" s="50">
        <v>16374846</v>
      </c>
      <c r="D48" s="50">
        <v>15774846</v>
      </c>
      <c r="E48" s="50">
        <f>D48-C48</f>
        <v>-600000</v>
      </c>
      <c r="F48" s="45">
        <f>IF(ISBLANK(E48),"  ",IF(C48&gt;0,E48/C48,IF(E48&gt;0,1,0)))</f>
        <v>-0.03664156597258991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29017965</v>
      </c>
      <c r="C54" s="50">
        <v>29110070</v>
      </c>
      <c r="D54" s="50">
        <v>28774902</v>
      </c>
      <c r="E54" s="50">
        <f>D54-C54</f>
        <v>-335168</v>
      </c>
      <c r="F54" s="45">
        <f>IF(ISBLANK(E54),"  ",IF(C54&gt;0,E54/C54,IF(E54&gt;0,1,0)))</f>
        <v>-0.011513816352897811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8" s="100" customFormat="1" ht="26.25">
      <c r="A58" s="37" t="s">
        <v>54</v>
      </c>
      <c r="B58" s="29">
        <v>16352869</v>
      </c>
      <c r="C58" s="29">
        <v>16444974</v>
      </c>
      <c r="D58" s="29">
        <v>14532921</v>
      </c>
      <c r="E58" s="29">
        <f aca="true" t="shared" si="4" ref="E58:E71">D58-C58</f>
        <v>-1912053</v>
      </c>
      <c r="F58" s="34">
        <f aca="true" t="shared" si="5" ref="F58:F71">IF(ISBLANK(E58),"  ",IF(C58&gt;0,E58/C58,IF(E58&gt;0,1,0)))</f>
        <v>-0.11626974904308149</v>
      </c>
      <c r="H58" s="86"/>
    </row>
    <row r="59" spans="1:8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  <c r="H59" s="86"/>
    </row>
    <row r="60" spans="1:8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  <c r="H60" s="86"/>
    </row>
    <row r="61" spans="1:8" s="100" customFormat="1" ht="26.25">
      <c r="A61" s="39" t="s">
        <v>57</v>
      </c>
      <c r="B61" s="38">
        <v>1717804</v>
      </c>
      <c r="C61" s="38">
        <v>1717804</v>
      </c>
      <c r="D61" s="38">
        <v>2156765</v>
      </c>
      <c r="E61" s="38">
        <f t="shared" si="4"/>
        <v>438961</v>
      </c>
      <c r="F61" s="34">
        <f t="shared" si="5"/>
        <v>0.2555361379994458</v>
      </c>
      <c r="H61" s="86"/>
    </row>
    <row r="62" spans="1:8" s="100" customFormat="1" ht="26.25">
      <c r="A62" s="39" t="s">
        <v>58</v>
      </c>
      <c r="B62" s="38">
        <v>2963652</v>
      </c>
      <c r="C62" s="38">
        <v>2963652</v>
      </c>
      <c r="D62" s="38">
        <v>3503898</v>
      </c>
      <c r="E62" s="38">
        <f t="shared" si="4"/>
        <v>540246</v>
      </c>
      <c r="F62" s="34">
        <f t="shared" si="5"/>
        <v>0.182290633313223</v>
      </c>
      <c r="H62" s="86"/>
    </row>
    <row r="63" spans="1:8" s="100" customFormat="1" ht="26.25">
      <c r="A63" s="39" t="s">
        <v>59</v>
      </c>
      <c r="B63" s="38">
        <v>4979285</v>
      </c>
      <c r="C63" s="38">
        <v>4979285</v>
      </c>
      <c r="D63" s="38">
        <v>5549968</v>
      </c>
      <c r="E63" s="38">
        <f t="shared" si="4"/>
        <v>570683</v>
      </c>
      <c r="F63" s="34">
        <f t="shared" si="5"/>
        <v>0.11461143517593389</v>
      </c>
      <c r="H63" s="86"/>
    </row>
    <row r="64" spans="1:8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  <c r="H64" s="86"/>
    </row>
    <row r="65" spans="1:8" s="100" customFormat="1" ht="26.25">
      <c r="A65" s="39" t="s">
        <v>61</v>
      </c>
      <c r="B65" s="38">
        <v>2336511</v>
      </c>
      <c r="C65" s="38">
        <v>2336511</v>
      </c>
      <c r="D65" s="38">
        <v>2277002</v>
      </c>
      <c r="E65" s="38">
        <f t="shared" si="4"/>
        <v>-59509</v>
      </c>
      <c r="F65" s="34">
        <f t="shared" si="5"/>
        <v>-0.025469171769360383</v>
      </c>
      <c r="H65" s="86"/>
    </row>
    <row r="66" spans="1:8" s="102" customFormat="1" ht="26.25">
      <c r="A66" s="59" t="s">
        <v>62</v>
      </c>
      <c r="B66" s="44">
        <v>28350121</v>
      </c>
      <c r="C66" s="44">
        <v>28442226</v>
      </c>
      <c r="D66" s="44">
        <v>28020554</v>
      </c>
      <c r="E66" s="44">
        <f t="shared" si="4"/>
        <v>-421672</v>
      </c>
      <c r="F66" s="45">
        <f t="shared" si="5"/>
        <v>-0.01482556252805248</v>
      </c>
      <c r="H66" s="86"/>
    </row>
    <row r="67" spans="1:8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  <c r="H67" s="86"/>
    </row>
    <row r="68" spans="1:8" s="100" customFormat="1" ht="26.25">
      <c r="A68" s="39" t="s">
        <v>64</v>
      </c>
      <c r="B68" s="38">
        <v>667844</v>
      </c>
      <c r="C68" s="38">
        <v>667844</v>
      </c>
      <c r="D68" s="38">
        <v>754348</v>
      </c>
      <c r="E68" s="38">
        <f t="shared" si="4"/>
        <v>86504</v>
      </c>
      <c r="F68" s="34">
        <f t="shared" si="5"/>
        <v>0.12952725486790329</v>
      </c>
      <c r="H68" s="86"/>
    </row>
    <row r="69" spans="1:8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  <c r="H69" s="86"/>
    </row>
    <row r="70" spans="1:8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  <c r="H70" s="86"/>
    </row>
    <row r="71" spans="1:8" s="102" customFormat="1" ht="26.25">
      <c r="A71" s="60" t="s">
        <v>67</v>
      </c>
      <c r="B71" s="61">
        <v>29017965</v>
      </c>
      <c r="C71" s="61">
        <v>29110070</v>
      </c>
      <c r="D71" s="61">
        <v>28774902</v>
      </c>
      <c r="E71" s="61">
        <f t="shared" si="4"/>
        <v>-335168</v>
      </c>
      <c r="F71" s="45">
        <f t="shared" si="5"/>
        <v>-0.011513816352897811</v>
      </c>
      <c r="H71" s="86"/>
    </row>
    <row r="72" spans="1:8" s="100" customFormat="1" ht="26.25">
      <c r="A72" s="58"/>
      <c r="B72" s="29"/>
      <c r="C72" s="29"/>
      <c r="D72" s="29"/>
      <c r="E72" s="29"/>
      <c r="F72" s="31"/>
      <c r="H72" s="86"/>
    </row>
    <row r="73" spans="1:8" s="100" customFormat="1" ht="26.25">
      <c r="A73" s="56" t="s">
        <v>68</v>
      </c>
      <c r="B73" s="29"/>
      <c r="C73" s="29"/>
      <c r="D73" s="29"/>
      <c r="E73" s="29"/>
      <c r="F73" s="31"/>
      <c r="H73" s="86"/>
    </row>
    <row r="74" spans="1:8" s="100" customFormat="1" ht="26.25">
      <c r="A74" s="37" t="s">
        <v>69</v>
      </c>
      <c r="B74" s="33">
        <v>14424794</v>
      </c>
      <c r="C74" s="33">
        <v>14516899</v>
      </c>
      <c r="D74" s="33">
        <v>13927872</v>
      </c>
      <c r="E74" s="29">
        <f aca="true" t="shared" si="6" ref="E74:E92">D74-C74</f>
        <v>-589027</v>
      </c>
      <c r="F74" s="34">
        <f aca="true" t="shared" si="7" ref="F74:F92">IF(ISBLANK(E74),"  ",IF(C74&gt;0,E74/C74,IF(E74&gt;0,1,0)))</f>
        <v>-0.04057526335342004</v>
      </c>
      <c r="H74" s="86"/>
    </row>
    <row r="75" spans="1:8" s="100" customFormat="1" ht="26.25">
      <c r="A75" s="39" t="s">
        <v>70</v>
      </c>
      <c r="B75" s="36">
        <v>177792</v>
      </c>
      <c r="C75" s="36">
        <v>177792</v>
      </c>
      <c r="D75" s="36">
        <v>0</v>
      </c>
      <c r="E75" s="38">
        <f t="shared" si="6"/>
        <v>-177792</v>
      </c>
      <c r="F75" s="34">
        <f t="shared" si="7"/>
        <v>-1</v>
      </c>
      <c r="H75" s="86"/>
    </row>
    <row r="76" spans="1:8" s="100" customFormat="1" ht="26.25">
      <c r="A76" s="39" t="s">
        <v>71</v>
      </c>
      <c r="B76" s="29">
        <v>6503441</v>
      </c>
      <c r="C76" s="29">
        <v>6503441</v>
      </c>
      <c r="D76" s="29">
        <v>7049798</v>
      </c>
      <c r="E76" s="38">
        <f t="shared" si="6"/>
        <v>546357</v>
      </c>
      <c r="F76" s="34">
        <f t="shared" si="7"/>
        <v>0.08401044923756516</v>
      </c>
      <c r="H76" s="86"/>
    </row>
    <row r="77" spans="1:8" s="102" customFormat="1" ht="26.25">
      <c r="A77" s="59" t="s">
        <v>72</v>
      </c>
      <c r="B77" s="61">
        <v>21106027</v>
      </c>
      <c r="C77" s="61">
        <v>21198132</v>
      </c>
      <c r="D77" s="61">
        <v>20977670</v>
      </c>
      <c r="E77" s="44">
        <f t="shared" si="6"/>
        <v>-220462</v>
      </c>
      <c r="F77" s="45">
        <f t="shared" si="7"/>
        <v>-0.010400067326687088</v>
      </c>
      <c r="H77" s="86"/>
    </row>
    <row r="78" spans="1:8" s="100" customFormat="1" ht="26.25">
      <c r="A78" s="39" t="s">
        <v>73</v>
      </c>
      <c r="B78" s="36">
        <v>207633</v>
      </c>
      <c r="C78" s="36">
        <v>207633</v>
      </c>
      <c r="D78" s="36">
        <v>415568</v>
      </c>
      <c r="E78" s="38">
        <f t="shared" si="6"/>
        <v>207935</v>
      </c>
      <c r="F78" s="34">
        <f t="shared" si="7"/>
        <v>1.001454489411606</v>
      </c>
      <c r="H78" s="86"/>
    </row>
    <row r="79" spans="1:8" s="100" customFormat="1" ht="26.25">
      <c r="A79" s="39" t="s">
        <v>74</v>
      </c>
      <c r="B79" s="33">
        <v>3625022</v>
      </c>
      <c r="C79" s="33">
        <v>3625022</v>
      </c>
      <c r="D79" s="33">
        <v>4708897</v>
      </c>
      <c r="E79" s="38">
        <f t="shared" si="6"/>
        <v>1083875</v>
      </c>
      <c r="F79" s="34">
        <f t="shared" si="7"/>
        <v>0.29899818539032313</v>
      </c>
      <c r="H79" s="86"/>
    </row>
    <row r="80" spans="1:8" s="100" customFormat="1" ht="26.25">
      <c r="A80" s="39" t="s">
        <v>75</v>
      </c>
      <c r="B80" s="29">
        <v>592750</v>
      </c>
      <c r="C80" s="29">
        <v>592750</v>
      </c>
      <c r="D80" s="29">
        <v>309948</v>
      </c>
      <c r="E80" s="38">
        <f t="shared" si="6"/>
        <v>-282802</v>
      </c>
      <c r="F80" s="34">
        <f t="shared" si="7"/>
        <v>-0.47710164487557993</v>
      </c>
      <c r="H80" s="86"/>
    </row>
    <row r="81" spans="1:8" s="102" customFormat="1" ht="26.25">
      <c r="A81" s="42" t="s">
        <v>76</v>
      </c>
      <c r="B81" s="61">
        <v>4425405</v>
      </c>
      <c r="C81" s="61">
        <v>4425405</v>
      </c>
      <c r="D81" s="61">
        <v>5434413</v>
      </c>
      <c r="E81" s="44">
        <f t="shared" si="6"/>
        <v>1009008</v>
      </c>
      <c r="F81" s="45">
        <f t="shared" si="7"/>
        <v>0.22800353865917355</v>
      </c>
      <c r="H81" s="86"/>
    </row>
    <row r="82" spans="1:8" s="100" customFormat="1" ht="26.25">
      <c r="A82" s="39" t="s">
        <v>77</v>
      </c>
      <c r="B82" s="29">
        <v>1180342</v>
      </c>
      <c r="C82" s="29">
        <v>1180342</v>
      </c>
      <c r="D82" s="29">
        <v>1147850</v>
      </c>
      <c r="E82" s="38">
        <f t="shared" si="6"/>
        <v>-32492</v>
      </c>
      <c r="F82" s="34">
        <f t="shared" si="7"/>
        <v>-0.02752761487772188</v>
      </c>
      <c r="H82" s="86"/>
    </row>
    <row r="83" spans="1:8" s="100" customFormat="1" ht="26.25">
      <c r="A83" s="39" t="s">
        <v>78</v>
      </c>
      <c r="B83" s="38">
        <v>297161</v>
      </c>
      <c r="C83" s="38">
        <v>297161</v>
      </c>
      <c r="D83" s="38">
        <v>291437</v>
      </c>
      <c r="E83" s="38">
        <f t="shared" si="6"/>
        <v>-5724</v>
      </c>
      <c r="F83" s="34">
        <f t="shared" si="7"/>
        <v>-0.019262285427764748</v>
      </c>
      <c r="H83" s="86"/>
    </row>
    <row r="84" spans="1:8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  <c r="H84" s="86"/>
    </row>
    <row r="85" spans="1:8" s="100" customFormat="1" ht="26.25">
      <c r="A85" s="39" t="s">
        <v>80</v>
      </c>
      <c r="B85" s="38">
        <v>667844</v>
      </c>
      <c r="C85" s="38">
        <v>667844</v>
      </c>
      <c r="D85" s="38">
        <v>754348</v>
      </c>
      <c r="E85" s="38">
        <f t="shared" si="6"/>
        <v>86504</v>
      </c>
      <c r="F85" s="34">
        <f t="shared" si="7"/>
        <v>0.12952725486790329</v>
      </c>
      <c r="H85" s="86"/>
    </row>
    <row r="86" spans="1:8" s="102" customFormat="1" ht="26.25">
      <c r="A86" s="42" t="s">
        <v>81</v>
      </c>
      <c r="B86" s="44">
        <v>2145347</v>
      </c>
      <c r="C86" s="44">
        <v>2145347</v>
      </c>
      <c r="D86" s="44">
        <v>2193635</v>
      </c>
      <c r="E86" s="44">
        <f t="shared" si="6"/>
        <v>48288</v>
      </c>
      <c r="F86" s="45">
        <f t="shared" si="7"/>
        <v>0.022508246917631508</v>
      </c>
      <c r="H86" s="86"/>
    </row>
    <row r="87" spans="1:8" s="100" customFormat="1" ht="26.25">
      <c r="A87" s="39" t="s">
        <v>82</v>
      </c>
      <c r="B87" s="38">
        <v>1332360</v>
      </c>
      <c r="C87" s="38">
        <v>1332360</v>
      </c>
      <c r="D87" s="38">
        <v>143534</v>
      </c>
      <c r="E87" s="38">
        <f t="shared" si="6"/>
        <v>-1188826</v>
      </c>
      <c r="F87" s="34">
        <f t="shared" si="7"/>
        <v>-0.8922708577261401</v>
      </c>
      <c r="H87" s="86"/>
    </row>
    <row r="88" spans="1:8" s="100" customFormat="1" ht="26.25">
      <c r="A88" s="39" t="s">
        <v>83</v>
      </c>
      <c r="B88" s="38">
        <v>8826</v>
      </c>
      <c r="C88" s="38">
        <v>8826</v>
      </c>
      <c r="D88" s="38">
        <v>25650</v>
      </c>
      <c r="E88" s="38">
        <f t="shared" si="6"/>
        <v>16824</v>
      </c>
      <c r="F88" s="34">
        <f t="shared" si="7"/>
        <v>1.9061862678450034</v>
      </c>
      <c r="H88" s="86"/>
    </row>
    <row r="89" spans="1:8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  <c r="H89" s="86"/>
    </row>
    <row r="90" spans="1:8" s="102" customFormat="1" ht="26.25">
      <c r="A90" s="62" t="s">
        <v>85</v>
      </c>
      <c r="B90" s="61">
        <v>1341186</v>
      </c>
      <c r="C90" s="61">
        <v>1341186</v>
      </c>
      <c r="D90" s="61">
        <v>169184</v>
      </c>
      <c r="E90" s="61">
        <f t="shared" si="6"/>
        <v>-1172002</v>
      </c>
      <c r="F90" s="45">
        <f t="shared" si="7"/>
        <v>-0.873854931381628</v>
      </c>
      <c r="H90" s="86"/>
    </row>
    <row r="91" spans="1:8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  <c r="H91" s="86"/>
    </row>
    <row r="92" spans="1:8" s="102" customFormat="1" ht="27" thickBot="1">
      <c r="A92" s="63" t="s">
        <v>67</v>
      </c>
      <c r="B92" s="64">
        <v>29017965</v>
      </c>
      <c r="C92" s="64">
        <v>29110070</v>
      </c>
      <c r="D92" s="64">
        <v>28774902</v>
      </c>
      <c r="E92" s="64">
        <f t="shared" si="6"/>
        <v>-335168</v>
      </c>
      <c r="F92" s="65">
        <f t="shared" si="7"/>
        <v>-0.011513816352897811</v>
      </c>
      <c r="H92" s="86"/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48" t="s">
        <v>117</v>
      </c>
      <c r="E1" s="147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6684434</v>
      </c>
      <c r="C8" s="33">
        <v>6684434</v>
      </c>
      <c r="D8" s="33">
        <v>7746573</v>
      </c>
      <c r="E8" s="33">
        <f aca="true" t="shared" si="0" ref="E8:E29">D8-C8</f>
        <v>1062139</v>
      </c>
      <c r="F8" s="34">
        <f aca="true" t="shared" si="1" ref="F8:F29">IF(ISBLANK(E8),"  ",IF(C8&gt;0,E8/C8,IF(E8&gt;0,1,0)))</f>
        <v>0.1588973726122511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799455</v>
      </c>
      <c r="C10" s="36">
        <v>835102</v>
      </c>
      <c r="D10" s="36">
        <v>747985</v>
      </c>
      <c r="E10" s="36">
        <f t="shared" si="0"/>
        <v>-87117</v>
      </c>
      <c r="F10" s="34">
        <f t="shared" si="1"/>
        <v>-0.10431899336847475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231819</v>
      </c>
      <c r="C12" s="38">
        <v>267466</v>
      </c>
      <c r="D12" s="38">
        <v>259401</v>
      </c>
      <c r="E12" s="36">
        <f t="shared" si="0"/>
        <v>-8065</v>
      </c>
      <c r="F12" s="34">
        <f t="shared" si="1"/>
        <v>-0.030153365287550568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132411</v>
      </c>
      <c r="C14" s="38">
        <v>132411</v>
      </c>
      <c r="D14" s="38">
        <v>130811</v>
      </c>
      <c r="E14" s="36">
        <f t="shared" si="0"/>
        <v>-1600</v>
      </c>
      <c r="F14" s="34">
        <f t="shared" si="1"/>
        <v>-0.012083588221522381</v>
      </c>
    </row>
    <row r="15" spans="1:6" s="100" customFormat="1" ht="26.25">
      <c r="A15" s="39" t="s">
        <v>19</v>
      </c>
      <c r="B15" s="38">
        <v>435225</v>
      </c>
      <c r="C15" s="38">
        <v>435225</v>
      </c>
      <c r="D15" s="38">
        <v>357773</v>
      </c>
      <c r="E15" s="36">
        <f t="shared" si="0"/>
        <v>-77452</v>
      </c>
      <c r="F15" s="34">
        <f t="shared" si="1"/>
        <v>-0.17795852719857544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7483889</v>
      </c>
      <c r="C35" s="44">
        <v>7519536</v>
      </c>
      <c r="D35" s="44">
        <v>8494558</v>
      </c>
      <c r="E35" s="44">
        <f>D35-C35</f>
        <v>975022</v>
      </c>
      <c r="F35" s="45">
        <f>IF(ISBLANK(E35),"  ",IF(C35&gt;0,E35/C35,IF(E35&gt;0,1,0)))</f>
        <v>0.1296651814686438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9083247</v>
      </c>
      <c r="C48" s="50">
        <v>9196056</v>
      </c>
      <c r="D48" s="50">
        <v>9200000</v>
      </c>
      <c r="E48" s="50">
        <f>D48-C48</f>
        <v>3944</v>
      </c>
      <c r="F48" s="45">
        <f>IF(ISBLANK(E48),"  ",IF(C48&gt;0,E48/C48,IF(E48&gt;0,1,0)))</f>
        <v>0.00042887951095556617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16567136</v>
      </c>
      <c r="C54" s="50">
        <v>16715592</v>
      </c>
      <c r="D54" s="50">
        <v>17694558</v>
      </c>
      <c r="E54" s="50">
        <f>D54-C54</f>
        <v>978966</v>
      </c>
      <c r="F54" s="45">
        <f>IF(ISBLANK(E54),"  ",IF(C54&gt;0,E54/C54,IF(E54&gt;0,1,0)))</f>
        <v>0.058566038223474226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7131183</v>
      </c>
      <c r="C58" s="29">
        <v>7279639</v>
      </c>
      <c r="D58" s="29">
        <v>7389900</v>
      </c>
      <c r="E58" s="29">
        <f aca="true" t="shared" si="4" ref="E58:E71">D58-C58</f>
        <v>110261</v>
      </c>
      <c r="F58" s="34">
        <f aca="true" t="shared" si="5" ref="F58:F71">IF(ISBLANK(E58),"  ",IF(C58&gt;0,E58/C58,IF(E58&gt;0,1,0)))</f>
        <v>0.015146492841197208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1677395</v>
      </c>
      <c r="C61" s="38">
        <v>1677395</v>
      </c>
      <c r="D61" s="38">
        <v>2009857</v>
      </c>
      <c r="E61" s="38">
        <f t="shared" si="4"/>
        <v>332462</v>
      </c>
      <c r="F61" s="34">
        <f t="shared" si="5"/>
        <v>0.19820137773154206</v>
      </c>
    </row>
    <row r="62" spans="1:6" s="100" customFormat="1" ht="26.25">
      <c r="A62" s="39" t="s">
        <v>58</v>
      </c>
      <c r="B62" s="38">
        <v>1381754</v>
      </c>
      <c r="C62" s="38">
        <v>1381754</v>
      </c>
      <c r="D62" s="38">
        <v>1788578</v>
      </c>
      <c r="E62" s="38">
        <f t="shared" si="4"/>
        <v>406824</v>
      </c>
      <c r="F62" s="34">
        <f t="shared" si="5"/>
        <v>0.2944257805658605</v>
      </c>
    </row>
    <row r="63" spans="1:6" s="100" customFormat="1" ht="26.25">
      <c r="A63" s="39" t="s">
        <v>59</v>
      </c>
      <c r="B63" s="38">
        <v>3693889</v>
      </c>
      <c r="C63" s="38">
        <v>3693889</v>
      </c>
      <c r="D63" s="38">
        <v>4102640</v>
      </c>
      <c r="E63" s="38">
        <f t="shared" si="4"/>
        <v>408751</v>
      </c>
      <c r="F63" s="34">
        <f t="shared" si="5"/>
        <v>0.11065600509381847</v>
      </c>
    </row>
    <row r="64" spans="1:6" s="100" customFormat="1" ht="26.25">
      <c r="A64" s="39" t="s">
        <v>60</v>
      </c>
      <c r="B64" s="38">
        <v>28361</v>
      </c>
      <c r="C64" s="38">
        <v>28361</v>
      </c>
      <c r="D64" s="38">
        <v>0</v>
      </c>
      <c r="E64" s="38">
        <f t="shared" si="4"/>
        <v>-28361</v>
      </c>
      <c r="F64" s="34">
        <f t="shared" si="5"/>
        <v>-1</v>
      </c>
    </row>
    <row r="65" spans="1:6" s="100" customFormat="1" ht="26.25">
      <c r="A65" s="39" t="s">
        <v>61</v>
      </c>
      <c r="B65" s="38">
        <v>2339920</v>
      </c>
      <c r="C65" s="38">
        <v>2339920</v>
      </c>
      <c r="D65" s="38">
        <v>2093148</v>
      </c>
      <c r="E65" s="38">
        <f t="shared" si="4"/>
        <v>-246772</v>
      </c>
      <c r="F65" s="34">
        <f t="shared" si="5"/>
        <v>-0.10546172518718588</v>
      </c>
    </row>
    <row r="66" spans="1:6" s="102" customFormat="1" ht="26.25">
      <c r="A66" s="59" t="s">
        <v>62</v>
      </c>
      <c r="B66" s="44">
        <v>16252502</v>
      </c>
      <c r="C66" s="44">
        <v>16400958</v>
      </c>
      <c r="D66" s="44">
        <v>17384123</v>
      </c>
      <c r="E66" s="44">
        <f t="shared" si="4"/>
        <v>983165</v>
      </c>
      <c r="F66" s="45">
        <f t="shared" si="5"/>
        <v>0.05994558366651509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314634</v>
      </c>
      <c r="C68" s="38">
        <v>314634</v>
      </c>
      <c r="D68" s="38">
        <v>310435</v>
      </c>
      <c r="E68" s="38">
        <f t="shared" si="4"/>
        <v>-4199</v>
      </c>
      <c r="F68" s="34">
        <f t="shared" si="5"/>
        <v>-0.013345665122014785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16567136</v>
      </c>
      <c r="C71" s="61">
        <v>16715592</v>
      </c>
      <c r="D71" s="61">
        <v>17694558</v>
      </c>
      <c r="E71" s="61">
        <f t="shared" si="4"/>
        <v>978966</v>
      </c>
      <c r="F71" s="45">
        <f t="shared" si="5"/>
        <v>0.058566038223474226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8877987</v>
      </c>
      <c r="C74" s="33">
        <v>8877987</v>
      </c>
      <c r="D74" s="33">
        <v>9348866</v>
      </c>
      <c r="E74" s="29">
        <f aca="true" t="shared" si="6" ref="E74:E92">D74-C74</f>
        <v>470879</v>
      </c>
      <c r="F74" s="34">
        <f aca="true" t="shared" si="7" ref="F74:F92">IF(ISBLANK(E74),"  ",IF(C74&gt;0,E74/C74,IF(E74&gt;0,1,0)))</f>
        <v>0.05303893776821254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3563637</v>
      </c>
      <c r="C76" s="29">
        <v>3563637</v>
      </c>
      <c r="D76" s="29">
        <v>4038635</v>
      </c>
      <c r="E76" s="38">
        <f t="shared" si="6"/>
        <v>474998</v>
      </c>
      <c r="F76" s="34">
        <f t="shared" si="7"/>
        <v>0.1332902313002138</v>
      </c>
    </row>
    <row r="77" spans="1:6" s="102" customFormat="1" ht="26.25">
      <c r="A77" s="59" t="s">
        <v>72</v>
      </c>
      <c r="B77" s="61">
        <v>12441624</v>
      </c>
      <c r="C77" s="61">
        <v>12441624</v>
      </c>
      <c r="D77" s="61">
        <v>13387501</v>
      </c>
      <c r="E77" s="44">
        <f t="shared" si="6"/>
        <v>945877</v>
      </c>
      <c r="F77" s="45">
        <f t="shared" si="7"/>
        <v>0.07602520378368612</v>
      </c>
    </row>
    <row r="78" spans="1:6" s="100" customFormat="1" ht="26.25">
      <c r="A78" s="39" t="s">
        <v>73</v>
      </c>
      <c r="B78" s="36">
        <v>129822</v>
      </c>
      <c r="C78" s="36">
        <v>129822</v>
      </c>
      <c r="D78" s="36">
        <v>147630</v>
      </c>
      <c r="E78" s="38">
        <f t="shared" si="6"/>
        <v>17808</v>
      </c>
      <c r="F78" s="34">
        <f t="shared" si="7"/>
        <v>0.13717243610482044</v>
      </c>
    </row>
    <row r="79" spans="1:6" s="100" customFormat="1" ht="26.25">
      <c r="A79" s="39" t="s">
        <v>74</v>
      </c>
      <c r="B79" s="33">
        <v>1992005</v>
      </c>
      <c r="C79" s="33">
        <v>2140461</v>
      </c>
      <c r="D79" s="33">
        <v>2355948</v>
      </c>
      <c r="E79" s="38">
        <f t="shared" si="6"/>
        <v>215487</v>
      </c>
      <c r="F79" s="34">
        <f t="shared" si="7"/>
        <v>0.10067317274175984</v>
      </c>
    </row>
    <row r="80" spans="1:6" s="100" customFormat="1" ht="26.25">
      <c r="A80" s="39" t="s">
        <v>75</v>
      </c>
      <c r="B80" s="29">
        <v>417662</v>
      </c>
      <c r="C80" s="29">
        <v>417662</v>
      </c>
      <c r="D80" s="29">
        <v>478995</v>
      </c>
      <c r="E80" s="38">
        <f t="shared" si="6"/>
        <v>61333</v>
      </c>
      <c r="F80" s="34">
        <f t="shared" si="7"/>
        <v>0.14684840852172332</v>
      </c>
    </row>
    <row r="81" spans="1:6" s="102" customFormat="1" ht="26.25">
      <c r="A81" s="42" t="s">
        <v>76</v>
      </c>
      <c r="B81" s="61">
        <v>2539489</v>
      </c>
      <c r="C81" s="61">
        <v>2687945</v>
      </c>
      <c r="D81" s="61">
        <v>2982573</v>
      </c>
      <c r="E81" s="44">
        <f t="shared" si="6"/>
        <v>294628</v>
      </c>
      <c r="F81" s="45">
        <f t="shared" si="7"/>
        <v>0.10961087373439561</v>
      </c>
    </row>
    <row r="82" spans="1:6" s="100" customFormat="1" ht="26.25">
      <c r="A82" s="39" t="s">
        <v>77</v>
      </c>
      <c r="B82" s="29">
        <v>102444</v>
      </c>
      <c r="C82" s="29">
        <v>102444</v>
      </c>
      <c r="D82" s="29">
        <v>108928</v>
      </c>
      <c r="E82" s="38">
        <f t="shared" si="6"/>
        <v>6484</v>
      </c>
      <c r="F82" s="34">
        <f t="shared" si="7"/>
        <v>0.063293116239116</v>
      </c>
    </row>
    <row r="83" spans="1:6" s="100" customFormat="1" ht="26.25">
      <c r="A83" s="39" t="s">
        <v>78</v>
      </c>
      <c r="B83" s="38">
        <v>516655</v>
      </c>
      <c r="C83" s="38">
        <v>516655</v>
      </c>
      <c r="D83" s="38">
        <v>580442</v>
      </c>
      <c r="E83" s="38">
        <f t="shared" si="6"/>
        <v>63787</v>
      </c>
      <c r="F83" s="34">
        <f t="shared" si="7"/>
        <v>0.12346149751768588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314634</v>
      </c>
      <c r="C85" s="38">
        <v>314634</v>
      </c>
      <c r="D85" s="38">
        <v>310435</v>
      </c>
      <c r="E85" s="38">
        <f t="shared" si="6"/>
        <v>-4199</v>
      </c>
      <c r="F85" s="34">
        <f t="shared" si="7"/>
        <v>-0.013345665122014785</v>
      </c>
    </row>
    <row r="86" spans="1:6" s="102" customFormat="1" ht="26.25">
      <c r="A86" s="42" t="s">
        <v>81</v>
      </c>
      <c r="B86" s="44">
        <v>933733</v>
      </c>
      <c r="C86" s="44">
        <v>933733</v>
      </c>
      <c r="D86" s="44">
        <v>999805</v>
      </c>
      <c r="E86" s="44">
        <f t="shared" si="6"/>
        <v>66072</v>
      </c>
      <c r="F86" s="45">
        <f t="shared" si="7"/>
        <v>0.07076112764569743</v>
      </c>
    </row>
    <row r="87" spans="1:6" s="100" customFormat="1" ht="26.25">
      <c r="A87" s="39" t="s">
        <v>82</v>
      </c>
      <c r="B87" s="38">
        <v>652290</v>
      </c>
      <c r="C87" s="38">
        <v>652290</v>
      </c>
      <c r="D87" s="38">
        <v>324679</v>
      </c>
      <c r="E87" s="38">
        <f t="shared" si="6"/>
        <v>-327611</v>
      </c>
      <c r="F87" s="34">
        <f t="shared" si="7"/>
        <v>-0.5022474666176088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652290</v>
      </c>
      <c r="C90" s="61">
        <v>652290</v>
      </c>
      <c r="D90" s="61">
        <v>324679</v>
      </c>
      <c r="E90" s="61">
        <f t="shared" si="6"/>
        <v>-327611</v>
      </c>
      <c r="F90" s="45">
        <f t="shared" si="7"/>
        <v>-0.5022474666176088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16567136</v>
      </c>
      <c r="C92" s="64">
        <v>16715592</v>
      </c>
      <c r="D92" s="64">
        <v>17694558</v>
      </c>
      <c r="E92" s="64">
        <f t="shared" si="6"/>
        <v>978966</v>
      </c>
      <c r="F92" s="65">
        <f t="shared" si="7"/>
        <v>0.058566038223474226</v>
      </c>
    </row>
    <row r="93" spans="1:8" s="93" customFormat="1" ht="31.5">
      <c r="A93" s="16"/>
      <c r="B93" s="17"/>
      <c r="C93" s="107"/>
      <c r="D93" s="10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10" t="s">
        <v>1</v>
      </c>
      <c r="D1" s="148" t="s">
        <v>130</v>
      </c>
      <c r="E1" s="147"/>
      <c r="F1" s="106"/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9860557</v>
      </c>
      <c r="C8" s="33">
        <v>9860557</v>
      </c>
      <c r="D8" s="33">
        <v>8322697</v>
      </c>
      <c r="E8" s="33">
        <f aca="true" t="shared" si="0" ref="E8:E29">D8-C8</f>
        <v>-1537860</v>
      </c>
      <c r="F8" s="34">
        <f aca="true" t="shared" si="1" ref="F8:F29">IF(ISBLANK(E8),"  ",IF(C8&gt;0,E8/C8,IF(E8&gt;0,1,0)))</f>
        <v>-0.15596076367694037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481478</v>
      </c>
      <c r="C10" s="36">
        <v>555514.1799999999</v>
      </c>
      <c r="D10" s="36">
        <v>469212</v>
      </c>
      <c r="E10" s="36">
        <f t="shared" si="0"/>
        <v>-86302.17999999993</v>
      </c>
      <c r="F10" s="34">
        <f t="shared" si="1"/>
        <v>-0.1553554942557901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481478</v>
      </c>
      <c r="C12" s="38">
        <v>555514.1799999999</v>
      </c>
      <c r="D12" s="38">
        <v>469212</v>
      </c>
      <c r="E12" s="36">
        <f t="shared" si="0"/>
        <v>-86302.17999999993</v>
      </c>
      <c r="F12" s="34">
        <f t="shared" si="1"/>
        <v>-0.1553554942557901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10342035</v>
      </c>
      <c r="C35" s="44">
        <v>10416071.18</v>
      </c>
      <c r="D35" s="44">
        <v>8791909</v>
      </c>
      <c r="E35" s="44">
        <f>D35-C35</f>
        <v>-1624162.1799999997</v>
      </c>
      <c r="F35" s="45">
        <f>IF(ISBLANK(E35),"  ",IF(C35&gt;0,E35/C35,IF(E35&gt;0,1,0)))</f>
        <v>-0.1559284831999391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1492083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1492083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0</v>
      </c>
      <c r="C44" s="52">
        <v>0</v>
      </c>
      <c r="D44" s="52"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7734605.609999999</v>
      </c>
      <c r="C48" s="50">
        <v>7349505.609999999</v>
      </c>
      <c r="D48" s="50">
        <v>5847999.609999999</v>
      </c>
      <c r="E48" s="50">
        <f>D48-C48</f>
        <v>-1501506</v>
      </c>
      <c r="F48" s="45">
        <f>IF(ISBLANK(E48),"  ",IF(C48&gt;0,E48/C48,IF(E48&gt;0,1,0)))</f>
        <v>-0.20430027265466638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0</v>
      </c>
      <c r="C50" s="54">
        <v>0</v>
      </c>
      <c r="D50" s="54">
        <v>0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16584557.61</v>
      </c>
      <c r="C54" s="50">
        <v>17765576.79</v>
      </c>
      <c r="D54" s="50">
        <v>14639908.61</v>
      </c>
      <c r="E54" s="50">
        <f>D54-C54</f>
        <v>-3125668.1799999997</v>
      </c>
      <c r="F54" s="45">
        <f>IF(ISBLANK(E54),"  ",IF(C54&gt;0,E54/C54,IF(E54&gt;0,1,0)))</f>
        <v>-0.17593958343977864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7410015.94</v>
      </c>
      <c r="C58" s="29">
        <v>8523794.940000001</v>
      </c>
      <c r="D58" s="29">
        <v>6525808</v>
      </c>
      <c r="E58" s="29">
        <f aca="true" t="shared" si="4" ref="E58:E71">D58-C58</f>
        <v>-1997986.9400000013</v>
      </c>
      <c r="F58" s="34">
        <f aca="true" t="shared" si="5" ref="F58:F71">IF(ISBLANK(E58),"  ",IF(C58&gt;0,E58/C58,IF(E58&gt;0,1,0)))</f>
        <v>-0.23440110350660326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56584.649999999994</v>
      </c>
      <c r="C61" s="38">
        <v>66546.65</v>
      </c>
      <c r="D61" s="38">
        <v>28363</v>
      </c>
      <c r="E61" s="38">
        <f t="shared" si="4"/>
        <v>-38183.649999999994</v>
      </c>
      <c r="F61" s="34">
        <f t="shared" si="5"/>
        <v>-0.573787711327317</v>
      </c>
    </row>
    <row r="62" spans="1:6" s="100" customFormat="1" ht="26.25">
      <c r="A62" s="39" t="s">
        <v>58</v>
      </c>
      <c r="B62" s="38">
        <v>2211404.83</v>
      </c>
      <c r="C62" s="38">
        <v>1873738.83</v>
      </c>
      <c r="D62" s="38">
        <v>1843169</v>
      </c>
      <c r="E62" s="38">
        <f t="shared" si="4"/>
        <v>-30569.830000000075</v>
      </c>
      <c r="F62" s="34">
        <f t="shared" si="5"/>
        <v>-0.0163148831152739</v>
      </c>
    </row>
    <row r="63" spans="1:6" s="100" customFormat="1" ht="26.25">
      <c r="A63" s="39" t="s">
        <v>59</v>
      </c>
      <c r="B63" s="38">
        <v>4522863.85</v>
      </c>
      <c r="C63" s="38">
        <v>4790640.22</v>
      </c>
      <c r="D63" s="38">
        <v>4323795</v>
      </c>
      <c r="E63" s="38">
        <f t="shared" si="4"/>
        <v>-466845.21999999974</v>
      </c>
      <c r="F63" s="34">
        <f t="shared" si="5"/>
        <v>-0.09744944278032212</v>
      </c>
    </row>
    <row r="64" spans="1:6" s="100" customFormat="1" ht="26.25">
      <c r="A64" s="39" t="s">
        <v>60</v>
      </c>
      <c r="B64" s="38">
        <v>41127.4</v>
      </c>
      <c r="C64" s="38">
        <v>41127.4</v>
      </c>
      <c r="D64" s="38">
        <v>39928</v>
      </c>
      <c r="E64" s="38">
        <f t="shared" si="4"/>
        <v>-1199.4000000000015</v>
      </c>
      <c r="F64" s="34">
        <f t="shared" si="5"/>
        <v>-0.029163039725341292</v>
      </c>
    </row>
    <row r="65" spans="1:6" s="100" customFormat="1" ht="26.25">
      <c r="A65" s="39" t="s">
        <v>61</v>
      </c>
      <c r="B65" s="38">
        <v>1728069.1600000001</v>
      </c>
      <c r="C65" s="38">
        <v>1851957.1600000001</v>
      </c>
      <c r="D65" s="38">
        <v>1257575</v>
      </c>
      <c r="E65" s="38">
        <f t="shared" si="4"/>
        <v>-594382.1600000001</v>
      </c>
      <c r="F65" s="34">
        <f t="shared" si="5"/>
        <v>-0.3209481152360998</v>
      </c>
    </row>
    <row r="66" spans="1:6" s="102" customFormat="1" ht="26.25">
      <c r="A66" s="59" t="s">
        <v>62</v>
      </c>
      <c r="B66" s="44">
        <v>15970065.830000002</v>
      </c>
      <c r="C66" s="44">
        <v>17147805.200000003</v>
      </c>
      <c r="D66" s="44">
        <v>14018638</v>
      </c>
      <c r="E66" s="44">
        <f t="shared" si="4"/>
        <v>-3129167.200000003</v>
      </c>
      <c r="F66" s="45">
        <f t="shared" si="5"/>
        <v>-0.18248208231336815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608184</v>
      </c>
      <c r="C68" s="38">
        <v>617772</v>
      </c>
      <c r="D68" s="38">
        <v>621271</v>
      </c>
      <c r="E68" s="38">
        <f t="shared" si="4"/>
        <v>3499</v>
      </c>
      <c r="F68" s="34">
        <f t="shared" si="5"/>
        <v>0.005663901892607629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6308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16584557.830000002</v>
      </c>
      <c r="C71" s="61">
        <v>17765577.200000003</v>
      </c>
      <c r="D71" s="61">
        <v>14639909</v>
      </c>
      <c r="E71" s="61">
        <f t="shared" si="4"/>
        <v>-3125668.200000003</v>
      </c>
      <c r="F71" s="45">
        <f t="shared" si="5"/>
        <v>-0.17593958050515818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8873902.64</v>
      </c>
      <c r="C74" s="33">
        <v>9681503.64</v>
      </c>
      <c r="D74" s="33">
        <v>7717124</v>
      </c>
      <c r="E74" s="29">
        <f aca="true" t="shared" si="6" ref="E74:E92">D74-C74</f>
        <v>-1964379.6400000006</v>
      </c>
      <c r="F74" s="34">
        <f aca="true" t="shared" si="7" ref="F74:F92">IF(ISBLANK(E74),"  ",IF(C74&gt;0,E74/C74,IF(E74&gt;0,1,0)))</f>
        <v>-0.20290026353798907</v>
      </c>
    </row>
    <row r="75" spans="1:6" s="100" customFormat="1" ht="26.25">
      <c r="A75" s="39" t="s">
        <v>70</v>
      </c>
      <c r="B75" s="36">
        <v>0</v>
      </c>
      <c r="C75" s="33">
        <v>0</v>
      </c>
      <c r="D75" s="33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4316915.17</v>
      </c>
      <c r="C76" s="33">
        <v>4687231.17</v>
      </c>
      <c r="D76" s="33">
        <v>3973899</v>
      </c>
      <c r="E76" s="38">
        <f t="shared" si="6"/>
        <v>-713332.1699999999</v>
      </c>
      <c r="F76" s="34">
        <f t="shared" si="7"/>
        <v>-0.15218625754274456</v>
      </c>
    </row>
    <row r="77" spans="1:6" s="102" customFormat="1" ht="26.25">
      <c r="A77" s="59" t="s">
        <v>72</v>
      </c>
      <c r="B77" s="61">
        <v>13190817.81</v>
      </c>
      <c r="C77" s="61">
        <v>14368734.81</v>
      </c>
      <c r="D77" s="61">
        <v>11691023</v>
      </c>
      <c r="E77" s="44">
        <f t="shared" si="6"/>
        <v>-2677711.8100000005</v>
      </c>
      <c r="F77" s="45">
        <f t="shared" si="7"/>
        <v>-0.18635682580323162</v>
      </c>
    </row>
    <row r="78" spans="1:6" s="100" customFormat="1" ht="26.25">
      <c r="A78" s="39" t="s">
        <v>73</v>
      </c>
      <c r="B78" s="36">
        <v>53192.840000000004</v>
      </c>
      <c r="C78" s="36">
        <v>61809.21</v>
      </c>
      <c r="D78" s="36">
        <v>62180</v>
      </c>
      <c r="E78" s="38">
        <f t="shared" si="6"/>
        <v>370.7900000000009</v>
      </c>
      <c r="F78" s="34">
        <f t="shared" si="7"/>
        <v>0.005998944170294377</v>
      </c>
    </row>
    <row r="79" spans="1:6" s="100" customFormat="1" ht="26.25">
      <c r="A79" s="39" t="s">
        <v>74</v>
      </c>
      <c r="B79" s="33">
        <v>1811716.08</v>
      </c>
      <c r="C79" s="33">
        <v>1987478.08</v>
      </c>
      <c r="D79" s="33">
        <v>1454111</v>
      </c>
      <c r="E79" s="38">
        <f t="shared" si="6"/>
        <v>-533367.0800000001</v>
      </c>
      <c r="F79" s="34">
        <f t="shared" si="7"/>
        <v>-0.2683637547338384</v>
      </c>
    </row>
    <row r="80" spans="1:6" s="100" customFormat="1" ht="26.25">
      <c r="A80" s="39" t="s">
        <v>75</v>
      </c>
      <c r="B80" s="29">
        <v>230904.90999999997</v>
      </c>
      <c r="C80" s="29">
        <v>278559.91</v>
      </c>
      <c r="D80" s="29">
        <v>191748</v>
      </c>
      <c r="E80" s="38">
        <f t="shared" si="6"/>
        <v>-86811.90999999997</v>
      </c>
      <c r="F80" s="34">
        <f t="shared" si="7"/>
        <v>-0.31164538357296273</v>
      </c>
    </row>
    <row r="81" spans="1:6" s="102" customFormat="1" ht="26.25">
      <c r="A81" s="42" t="s">
        <v>76</v>
      </c>
      <c r="B81" s="61">
        <v>2095813.83</v>
      </c>
      <c r="C81" s="61">
        <v>2327847.2</v>
      </c>
      <c r="D81" s="61">
        <v>1708039</v>
      </c>
      <c r="E81" s="44">
        <f t="shared" si="6"/>
        <v>-619808.2000000002</v>
      </c>
      <c r="F81" s="45">
        <f t="shared" si="7"/>
        <v>-0.2662581117867187</v>
      </c>
    </row>
    <row r="82" spans="1:6" s="100" customFormat="1" ht="26.25">
      <c r="A82" s="39" t="s">
        <v>77</v>
      </c>
      <c r="B82" s="29">
        <v>150658.77000000002</v>
      </c>
      <c r="C82" s="29">
        <v>167106.77000000002</v>
      </c>
      <c r="D82" s="29">
        <v>200517</v>
      </c>
      <c r="E82" s="38">
        <f t="shared" si="6"/>
        <v>33410.22999999998</v>
      </c>
      <c r="F82" s="34">
        <f t="shared" si="7"/>
        <v>0.19993343178136935</v>
      </c>
    </row>
    <row r="83" spans="1:6" s="100" customFormat="1" ht="26.25">
      <c r="A83" s="39" t="s">
        <v>78</v>
      </c>
      <c r="B83" s="38">
        <v>538.2</v>
      </c>
      <c r="C83" s="38">
        <v>541.2</v>
      </c>
      <c r="D83" s="38">
        <v>16602</v>
      </c>
      <c r="E83" s="38">
        <f t="shared" si="6"/>
        <v>16060.8</v>
      </c>
      <c r="F83" s="34">
        <f t="shared" si="7"/>
        <v>29.676274944567623</v>
      </c>
    </row>
    <row r="84" spans="1:6" s="100" customFormat="1" ht="26.25">
      <c r="A84" s="39" t="s">
        <v>79</v>
      </c>
      <c r="B84" s="38">
        <v>267931</v>
      </c>
      <c r="C84" s="38">
        <v>0</v>
      </c>
      <c r="D84" s="38">
        <v>105000</v>
      </c>
      <c r="E84" s="38">
        <f t="shared" si="6"/>
        <v>105000</v>
      </c>
      <c r="F84" s="34">
        <f t="shared" si="7"/>
        <v>1</v>
      </c>
    </row>
    <row r="85" spans="1:6" s="100" customFormat="1" ht="26.25">
      <c r="A85" s="39" t="s">
        <v>80</v>
      </c>
      <c r="B85" s="38">
        <v>869210</v>
      </c>
      <c r="C85" s="38">
        <v>878712</v>
      </c>
      <c r="D85" s="38">
        <v>912087</v>
      </c>
      <c r="E85" s="38">
        <f t="shared" si="6"/>
        <v>33375</v>
      </c>
      <c r="F85" s="34">
        <f t="shared" si="7"/>
        <v>0.03798172780160052</v>
      </c>
    </row>
    <row r="86" spans="1:6" s="102" customFormat="1" ht="26.25">
      <c r="A86" s="42" t="s">
        <v>81</v>
      </c>
      <c r="B86" s="44">
        <v>1288337.97</v>
      </c>
      <c r="C86" s="44">
        <v>1046359.97</v>
      </c>
      <c r="D86" s="44">
        <v>1234206</v>
      </c>
      <c r="E86" s="44">
        <f t="shared" si="6"/>
        <v>187846.03000000003</v>
      </c>
      <c r="F86" s="45">
        <f t="shared" si="7"/>
        <v>0.1795233336382316</v>
      </c>
    </row>
    <row r="87" spans="1:6" s="100" customFormat="1" ht="26.25">
      <c r="A87" s="39" t="s">
        <v>82</v>
      </c>
      <c r="B87" s="38">
        <v>9588.220000000001</v>
      </c>
      <c r="C87" s="38">
        <v>22635.22</v>
      </c>
      <c r="D87" s="38">
        <v>6641</v>
      </c>
      <c r="E87" s="38">
        <f t="shared" si="6"/>
        <v>-15994.220000000001</v>
      </c>
      <c r="F87" s="34">
        <f t="shared" si="7"/>
        <v>-0.7066076671664777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9588.220000000001</v>
      </c>
      <c r="C90" s="61">
        <v>22635.22</v>
      </c>
      <c r="D90" s="61">
        <v>6641</v>
      </c>
      <c r="E90" s="61">
        <f t="shared" si="6"/>
        <v>-15994.220000000001</v>
      </c>
      <c r="F90" s="45">
        <f t="shared" si="7"/>
        <v>-0.7066076671664777</v>
      </c>
    </row>
    <row r="91" spans="1:6" s="100" customFormat="1" ht="26.25">
      <c r="A91" s="48" t="s">
        <v>86</v>
      </c>
      <c r="B91" s="38">
        <v>0</v>
      </c>
      <c r="C91" s="38">
        <v>0</v>
      </c>
      <c r="D91" s="36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16584557.83</v>
      </c>
      <c r="C92" s="64">
        <v>17765577.2</v>
      </c>
      <c r="D92" s="236">
        <v>14639909</v>
      </c>
      <c r="E92" s="64">
        <f t="shared" si="6"/>
        <v>-3125668.1999999993</v>
      </c>
      <c r="F92" s="65">
        <f t="shared" si="7"/>
        <v>-0.17593958050515798</v>
      </c>
    </row>
    <row r="93" spans="1:8" s="93" customFormat="1" ht="31.5">
      <c r="A93" s="16"/>
      <c r="B93" s="107"/>
      <c r="C93" s="107"/>
      <c r="D93" s="10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D12" sqref="D12"/>
    </sheetView>
  </sheetViews>
  <sheetFormatPr defaultColWidth="9.140625" defaultRowHeight="15"/>
  <cols>
    <col min="1" max="1" width="157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5" s="92" customFormat="1" ht="46.5">
      <c r="A1" s="7" t="s">
        <v>0</v>
      </c>
      <c r="B1" s="10" t="s">
        <v>1</v>
      </c>
      <c r="C1" s="1" t="s">
        <v>140</v>
      </c>
      <c r="D1" s="98"/>
      <c r="E1" s="97"/>
    </row>
    <row r="2" spans="1:5" s="92" customFormat="1" ht="46.5">
      <c r="A2" s="7" t="s">
        <v>2</v>
      </c>
      <c r="B2" s="8"/>
      <c r="C2" s="12"/>
      <c r="D2" s="97"/>
      <c r="E2" s="97"/>
    </row>
    <row r="3" spans="1:5" s="92" customFormat="1" ht="47.25" thickBot="1">
      <c r="A3" s="13" t="s">
        <v>3</v>
      </c>
      <c r="B3" s="14"/>
      <c r="C3" s="15"/>
      <c r="D3" s="97"/>
      <c r="E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f>LSUHSCS!B8+LSUHSCNO!B8+LSUAg!B8+PBRC!B8+SULaw!B8+SUAg!B8</f>
        <v>221561089.0300001</v>
      </c>
      <c r="C8" s="33">
        <f>LSUHSCS!C8+LSUHSCNO!C8+LSUAg!C8+PBRC!C8+SULaw!C8+SUAg!C8</f>
        <v>221561089</v>
      </c>
      <c r="D8" s="33">
        <f>LSUHSCS!D8+LSUHSCNO!D8+LSUAg!D8+PBRC!D8+SULaw!D8+SUAg!D8</f>
        <v>225394622</v>
      </c>
      <c r="E8" s="33">
        <f aca="true" t="shared" si="0" ref="E8:E29">D8-C8</f>
        <v>3833533</v>
      </c>
      <c r="F8" s="34">
        <f aca="true" t="shared" si="1" ref="F8:F29">IF(ISBLANK(E8),"  ",IF(C8&gt;0,E8/C8,IF(E8&gt;0,1,0)))</f>
        <v>0.017302374786576355</v>
      </c>
    </row>
    <row r="9" spans="1:6" s="100" customFormat="1" ht="26.25">
      <c r="A9" s="32" t="s">
        <v>13</v>
      </c>
      <c r="B9" s="33">
        <f>LSUHSCS!B9+LSUHSCNO!B9+LSUAg!B9+PBRC!B9+SULaw!B9+SUAg!B9</f>
        <v>0</v>
      </c>
      <c r="C9" s="33">
        <f>LSUHSCS!C9+LSUHSCNO!C9+LSUAg!C9+PBRC!C9+SULaw!C9+SUAg!C9</f>
        <v>0</v>
      </c>
      <c r="D9" s="33">
        <f>LSUHSCS!D9+LSUHSCNO!D9+LSUAg!D9+PBRC!D9+SULaw!D9+SUAg!D9</f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3">
        <f>LSUHSCS!B10+LSUHSCNO!B10+LSUAg!B10+PBRC!B10+SULaw!B10+SUAg!B10</f>
        <v>30880798.189999998</v>
      </c>
      <c r="C10" s="33">
        <f>LSUHSCS!C10+LSUHSCNO!C10+LSUAg!C10+PBRC!C10+SULaw!C10+SUAg!C10</f>
        <v>38183728</v>
      </c>
      <c r="D10" s="33">
        <f>LSUHSCS!D10+LSUHSCNO!D10+LSUAg!D10+PBRC!D10+SULaw!D10+SUAg!D10</f>
        <v>18098460</v>
      </c>
      <c r="E10" s="33">
        <f t="shared" si="0"/>
        <v>-20085268</v>
      </c>
      <c r="F10" s="34">
        <f t="shared" si="1"/>
        <v>-0.5260164224928483</v>
      </c>
    </row>
    <row r="11" spans="1:6" s="100" customFormat="1" ht="26.25">
      <c r="A11" s="37" t="s">
        <v>15</v>
      </c>
      <c r="B11" s="33">
        <f>LSUHSCS!B11+LSUHSCNO!B11+LSUAg!B11+PBRC!B11+SULaw!B11+SUAg!B11</f>
        <v>0</v>
      </c>
      <c r="C11" s="33">
        <f>LSUHSCS!C11+LSUHSCNO!C11+LSUAg!C11+PBRC!C11+SULaw!C11+SUAg!C11</f>
        <v>0</v>
      </c>
      <c r="D11" s="33">
        <f>LSUHSCS!D11+LSUHSCNO!D11+LSUAg!D11+PBRC!D11+SULaw!D11+SUAg!D11</f>
        <v>0</v>
      </c>
      <c r="E11" s="33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3">
        <f>LSUHSCS!B12+LSUHSCNO!B12+LSUAg!B12+PBRC!B12+SULaw!B12+SUAg!B12</f>
        <v>9232957.18</v>
      </c>
      <c r="C12" s="33">
        <f>LSUHSCS!C12+LSUHSCNO!C12+LSUAg!C12+PBRC!C12+SULaw!C12+SUAg!C12</f>
        <v>10651828</v>
      </c>
      <c r="D12" s="33">
        <f>LSUHSCS!D12+LSUHSCNO!D12+LSUAg!D12+PBRC!D12+SULaw!D12+SUAg!D12</f>
        <v>10330618</v>
      </c>
      <c r="E12" s="33">
        <f t="shared" si="0"/>
        <v>-321210</v>
      </c>
      <c r="F12" s="34">
        <f t="shared" si="1"/>
        <v>-0.03015538741331535</v>
      </c>
    </row>
    <row r="13" spans="1:6" s="100" customFormat="1" ht="26.25">
      <c r="A13" s="39" t="s">
        <v>17</v>
      </c>
      <c r="B13" s="33">
        <f>LSUHSCS!B13+LSUHSCNO!B13+LSUAg!B13+PBRC!B13+SULaw!B13+SUAg!B13</f>
        <v>20727841.01</v>
      </c>
      <c r="C13" s="33">
        <f>LSUHSCS!C13+LSUHSCNO!C13+LSUAg!C13+PBRC!C13+SULaw!C13+SUAg!C13</f>
        <v>26611900</v>
      </c>
      <c r="D13" s="33">
        <f>LSUHSCS!D13+LSUHSCNO!D13+LSUAg!D13+PBRC!D13+SULaw!D13+SUAg!D13</f>
        <v>7017842</v>
      </c>
      <c r="E13" s="33">
        <f t="shared" si="0"/>
        <v>-19594058</v>
      </c>
      <c r="F13" s="34">
        <f t="shared" si="1"/>
        <v>-0.7362893292098648</v>
      </c>
    </row>
    <row r="14" spans="1:6" s="100" customFormat="1" ht="26.25">
      <c r="A14" s="39" t="s">
        <v>18</v>
      </c>
      <c r="B14" s="33">
        <f>LSUHSCS!B14+LSUHSCNO!B14+LSUAg!B14+PBRC!B14+SULaw!B14+SUAg!B14</f>
        <v>0</v>
      </c>
      <c r="C14" s="33">
        <f>LSUHSCS!C14+LSUHSCNO!C14+LSUAg!C14+PBRC!C14+SULaw!C14+SUAg!C14</f>
        <v>0</v>
      </c>
      <c r="D14" s="33">
        <f>LSUHSCS!D14+LSUHSCNO!D14+LSUAg!D14+PBRC!D14+SULaw!D14+SUAg!D14</f>
        <v>0</v>
      </c>
      <c r="E14" s="33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3">
        <f>LSUHSCS!B15+LSUHSCNO!B15+LSUAg!B15+PBRC!B15+SULaw!B15+SUAg!B15</f>
        <v>0</v>
      </c>
      <c r="C15" s="33">
        <f>LSUHSCS!C15+LSUHSCNO!C15+LSUAg!C15+PBRC!C15+SULaw!C15+SUAg!C15</f>
        <v>0</v>
      </c>
      <c r="D15" s="33">
        <f>LSUHSCS!D15+LSUHSCNO!D15+LSUAg!D15+PBRC!D15+SULaw!D15+SUAg!D15</f>
        <v>0</v>
      </c>
      <c r="E15" s="33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3">
        <f>LSUHSCS!B16+LSUHSCNO!B16+LSUAg!B16+PBRC!B16+SULaw!B16+SUAg!B16</f>
        <v>0</v>
      </c>
      <c r="C16" s="33">
        <f>LSUHSCS!C16+LSUHSCNO!C16+LSUAg!C16+PBRC!C16+SULaw!C16+SUAg!C16</f>
        <v>0</v>
      </c>
      <c r="D16" s="33">
        <f>LSUHSCS!D16+LSUHSCNO!D16+LSUAg!D16+PBRC!D16+SULaw!D16+SUAg!D16</f>
        <v>0</v>
      </c>
      <c r="E16" s="33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3">
        <f>LSUHSCS!B17+LSUHSCNO!B17+LSUAg!B17+PBRC!B17+SULaw!B17+SUAg!B17</f>
        <v>920000</v>
      </c>
      <c r="C17" s="33">
        <f>LSUHSCS!C17+LSUHSCNO!C17+LSUAg!C17+PBRC!C17+SULaw!C17+SUAg!C17</f>
        <v>920000</v>
      </c>
      <c r="D17" s="33">
        <f>LSUHSCS!D17+LSUHSCNO!D17+LSUAg!D17+PBRC!D17+SULaw!D17+SUAg!D17</f>
        <v>750000</v>
      </c>
      <c r="E17" s="33">
        <f t="shared" si="0"/>
        <v>-170000</v>
      </c>
      <c r="F17" s="34">
        <f t="shared" si="1"/>
        <v>-0.18478260869565216</v>
      </c>
    </row>
    <row r="18" spans="1:6" s="100" customFormat="1" ht="26.25">
      <c r="A18" s="39" t="s">
        <v>22</v>
      </c>
      <c r="B18" s="33">
        <f>LSUHSCS!B18+LSUHSCNO!B18+LSUAg!B18+PBRC!B18+SULaw!B18+SUAg!B18</f>
        <v>0</v>
      </c>
      <c r="C18" s="33">
        <f>LSUHSCS!C18+LSUHSCNO!C18+LSUAg!C18+PBRC!C18+SULaw!C18+SUAg!C18</f>
        <v>0</v>
      </c>
      <c r="D18" s="33">
        <f>LSUHSCS!D18+LSUHSCNO!D18+LSUAg!D18+PBRC!D18+SULaw!D18+SUAg!D18</f>
        <v>0</v>
      </c>
      <c r="E18" s="33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3">
        <f>LSUHSCS!B19+LSUHSCNO!B19+LSUAg!B19+PBRC!B19+SULaw!B19+SUAg!B19</f>
        <v>0</v>
      </c>
      <c r="C19" s="33">
        <f>LSUHSCS!C19+LSUHSCNO!C19+LSUAg!C19+PBRC!C19+SULaw!C19+SUAg!C19</f>
        <v>0</v>
      </c>
      <c r="D19" s="33">
        <f>LSUHSCS!D19+LSUHSCNO!D19+LSUAg!D19+PBRC!D19+SULaw!D19+SUAg!D19</f>
        <v>0</v>
      </c>
      <c r="E19" s="33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3">
        <f>LSUHSCS!B20+LSUHSCNO!B20+LSUAg!B20+PBRC!B20+SULaw!B20+SUAg!B20</f>
        <v>0</v>
      </c>
      <c r="C20" s="33">
        <f>LSUHSCS!C20+LSUHSCNO!C20+LSUAg!C20+PBRC!C20+SULaw!C20+SUAg!C20</f>
        <v>0</v>
      </c>
      <c r="D20" s="33">
        <f>LSUHSCS!D20+LSUHSCNO!D20+LSUAg!D20+PBRC!D20+SULaw!D20+SUAg!D20</f>
        <v>0</v>
      </c>
      <c r="E20" s="33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3">
        <f>LSUHSCS!B21+LSUHSCNO!B21+LSUAg!B21+PBRC!B21+SULaw!B21+SUAg!B21</f>
        <v>0</v>
      </c>
      <c r="C21" s="33">
        <f>LSUHSCS!C21+LSUHSCNO!C21+LSUAg!C21+PBRC!C21+SULaw!C21+SUAg!C21</f>
        <v>0</v>
      </c>
      <c r="D21" s="33">
        <f>LSUHSCS!D21+LSUHSCNO!D21+LSUAg!D21+PBRC!D21+SULaw!D21+SUAg!D21</f>
        <v>0</v>
      </c>
      <c r="E21" s="33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3">
        <f>LSUHSCS!B22+LSUHSCNO!B22+LSUAg!B22+PBRC!B22+SULaw!B22+SUAg!B22</f>
        <v>0</v>
      </c>
      <c r="C22" s="33">
        <f>LSUHSCS!C22+LSUHSCNO!C22+LSUAg!C22+PBRC!C22+SULaw!C22+SUAg!C22</f>
        <v>0</v>
      </c>
      <c r="D22" s="33">
        <f>LSUHSCS!D22+LSUHSCNO!D22+LSUAg!D22+PBRC!D22+SULaw!D22+SUAg!D22</f>
        <v>0</v>
      </c>
      <c r="E22" s="33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3">
        <f>LSUHSCS!B23+LSUHSCNO!B23+LSUAg!B23+PBRC!B23+SULaw!B23+SUAg!B23</f>
        <v>0</v>
      </c>
      <c r="C23" s="33">
        <f>LSUHSCS!C23+LSUHSCNO!C23+LSUAg!C23+PBRC!C23+SULaw!C23+SUAg!C23</f>
        <v>0</v>
      </c>
      <c r="D23" s="33">
        <f>LSUHSCS!D23+LSUHSCNO!D23+LSUAg!D23+PBRC!D23+SULaw!D23+SUAg!D23</f>
        <v>0</v>
      </c>
      <c r="E23" s="33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3">
        <f>LSUHSCS!B24+LSUHSCNO!B24+LSUAg!B24+PBRC!B24+SULaw!B24+SUAg!B24</f>
        <v>0</v>
      </c>
      <c r="C24" s="33">
        <f>LSUHSCS!C24+LSUHSCNO!C24+LSUAg!C24+PBRC!C24+SULaw!C24+SUAg!C24</f>
        <v>0</v>
      </c>
      <c r="D24" s="33">
        <f>LSUHSCS!D24+LSUHSCNO!D24+LSUAg!D24+PBRC!D24+SULaw!D24+SUAg!D24</f>
        <v>0</v>
      </c>
      <c r="E24" s="33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3">
        <f>LSUHSCS!B25+LSUHSCNO!B25+LSUAg!B25+PBRC!B25+SULaw!B25+SUAg!B25</f>
        <v>0</v>
      </c>
      <c r="C25" s="33">
        <f>LSUHSCS!C25+LSUHSCNO!C25+LSUAg!C25+PBRC!C25+SULaw!C25+SUAg!C25</f>
        <v>0</v>
      </c>
      <c r="D25" s="33">
        <f>LSUHSCS!D25+LSUHSCNO!D25+LSUAg!D25+PBRC!D25+SULaw!D25+SUAg!D25</f>
        <v>0</v>
      </c>
      <c r="E25" s="33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3">
        <f>LSUHSCS!B26+LSUHSCNO!B26+LSUAg!B26+PBRC!B26+SULaw!B26+SUAg!B26</f>
        <v>0</v>
      </c>
      <c r="C26" s="33">
        <f>LSUHSCS!C26+LSUHSCNO!C26+LSUAg!C26+PBRC!C26+SULaw!C26+SUAg!C26</f>
        <v>0</v>
      </c>
      <c r="D26" s="33">
        <f>LSUHSCS!D26+LSUHSCNO!D26+LSUAg!D26+PBRC!D26+SULaw!D26+SUAg!D26</f>
        <v>0</v>
      </c>
      <c r="E26" s="33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3">
        <f>LSUHSCS!B27+LSUHSCNO!B27+LSUAg!B27+PBRC!B27+SULaw!B27+SUAg!B27</f>
        <v>0</v>
      </c>
      <c r="C27" s="33">
        <f>LSUHSCS!C27+LSUHSCNO!C27+LSUAg!C27+PBRC!C27+SULaw!C27+SUAg!C27</f>
        <v>0</v>
      </c>
      <c r="D27" s="33">
        <f>LSUHSCS!D27+LSUHSCNO!D27+LSUAg!D27+PBRC!D27+SULaw!D27+SUAg!D27</f>
        <v>0</v>
      </c>
      <c r="E27" s="33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3">
        <f>LSUHSCS!B28+LSUHSCNO!B28+LSUAg!B28+PBRC!B28+SULaw!B28+SUAg!B28</f>
        <v>0</v>
      </c>
      <c r="C28" s="33">
        <f>LSUHSCS!C28+LSUHSCNO!C28+LSUAg!C28+PBRC!C28+SULaw!C28+SUAg!C28</f>
        <v>0</v>
      </c>
      <c r="D28" s="33">
        <f>LSUHSCS!D28+LSUHSCNO!D28+LSUAg!D28+PBRC!D28+SULaw!D28+SUAg!D28</f>
        <v>0</v>
      </c>
      <c r="E28" s="33">
        <f t="shared" si="0"/>
        <v>0</v>
      </c>
      <c r="F28" s="34">
        <f t="shared" si="1"/>
        <v>0</v>
      </c>
    </row>
    <row r="29" spans="1:6" s="100" customFormat="1" ht="26.25">
      <c r="A29" s="40" t="s">
        <v>32</v>
      </c>
      <c r="B29" s="33">
        <f>LSUHSCS!B29+LSUHSCNO!B29+LSUAg!B29+PBRC!B29+SULaw!B29+SUAg!B29</f>
        <v>0</v>
      </c>
      <c r="C29" s="33">
        <f>LSUHSCS!C29+LSUHSCNO!C29+LSUAg!C29+PBRC!C29+SULaw!C29+SUAg!C29</f>
        <v>0</v>
      </c>
      <c r="D29" s="33">
        <f>LSUHSCS!D29+LSUHSCNO!D29+LSUAg!D29+PBRC!D29+SULaw!D29+SUAg!D29</f>
        <v>0</v>
      </c>
      <c r="E29" s="33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f>LSUHSCS!B31+LSUHSCNO!B31+LSUAg!B31+PBRC!B31+SULaw!B31+SUAg!B31</f>
        <v>0</v>
      </c>
      <c r="C31" s="33">
        <f>LSUHSCS!C31+LSUHSCNO!C31+LSUAg!C31+PBRC!C31+SULaw!C31+SUAg!C31</f>
        <v>0</v>
      </c>
      <c r="D31" s="33">
        <f>LSUHSCS!D31+LSUHSCNO!D31+LSUAg!D31+PBRC!D31+SULaw!D31+SUAg!D31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33">
        <f>LSUHSCS!B33+LSUHSCNO!B33+LSUAg!B33+PBRC!B33+SULaw!B33+SUAg!B33</f>
        <v>0</v>
      </c>
      <c r="C33" s="33">
        <f>LSUHSCS!C33+LSUHSCNO!C33+LSUAg!C33+PBRC!C33+SULaw!C33+SUAg!C33</f>
        <v>0</v>
      </c>
      <c r="D33" s="33">
        <f>LSUHSCS!D33+LSUHSCNO!D33+LSUAg!D33+PBRC!D33+SULaw!D33+SUAg!D33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6" s="102" customFormat="1" ht="26.25">
      <c r="A35" s="43" t="s">
        <v>38</v>
      </c>
      <c r="B35" s="67">
        <f>B33+B31+B10+B9+B8</f>
        <v>252441887.2200001</v>
      </c>
      <c r="C35" s="67">
        <f>C33+C31+C10+C9+C8</f>
        <v>259744817</v>
      </c>
      <c r="D35" s="67">
        <f>D33+D31+D10+D9+D8</f>
        <v>243493082</v>
      </c>
      <c r="E35" s="52">
        <f>D35-C35</f>
        <v>-16251735</v>
      </c>
      <c r="F35" s="45">
        <f>IF(ISBLANK(E35),"  ",IF(C35&gt;0,E35/C35,IF(E35&gt;0,1,0)))</f>
        <v>-0.06256808196484628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f>LSUHSCS!B37+LSUHSCNO!B37+LSUAg!B37+PBRC!B37+SULaw!B37+SUAg!B37</f>
        <v>0</v>
      </c>
      <c r="C37" s="33">
        <f>LSUHSCS!C37+LSUHSCNO!C37+LSUAg!C37+PBRC!C37+SULaw!C37+SUAg!C37</f>
        <v>0</v>
      </c>
      <c r="D37" s="33">
        <f>LSUHSCS!D37+LSUHSCNO!D37+LSUAg!D37+PBRC!D37+SULaw!D37+SUAg!D37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f>LSUHSCS!B38+LSUHSCNO!B38+LSUAg!B38+PBRC!B38+SULaw!B38+SUAg!B38</f>
        <v>0</v>
      </c>
      <c r="C38" s="33">
        <f>LSUHSCS!C38+LSUHSCNO!C38+LSUAg!C38+PBRC!C38+SULaw!C38+SUAg!C38</f>
        <v>0</v>
      </c>
      <c r="D38" s="33">
        <f>LSUHSCS!D38+LSUHSCNO!D38+LSUAg!D38+PBRC!D38+SULaw!D38+SUAg!D38</f>
        <v>0</v>
      </c>
      <c r="E38" s="33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f>LSUHSCS!B39+LSUHSCNO!B39+LSUAg!B39+PBRC!B39+SULaw!B39+SUAg!B39</f>
        <v>0</v>
      </c>
      <c r="C39" s="33">
        <f>LSUHSCS!C39+LSUHSCNO!C39+LSUAg!C39+PBRC!C39+SULaw!C39+SUAg!C39</f>
        <v>0</v>
      </c>
      <c r="D39" s="33">
        <f>LSUHSCS!D39+LSUHSCNO!D39+LSUAg!D39+PBRC!D39+SULaw!D39+SUAg!D39</f>
        <v>0</v>
      </c>
      <c r="E39" s="33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f>LSUHSCS!B40+LSUHSCNO!B40+LSUAg!B40+PBRC!B40+SULaw!B40+SUAg!B40</f>
        <v>0</v>
      </c>
      <c r="C40" s="33">
        <f>LSUHSCS!C40+LSUHSCNO!C40+LSUAg!C40+PBRC!C40+SULaw!C40+SUAg!C40</f>
        <v>0</v>
      </c>
      <c r="D40" s="33">
        <f>LSUHSCS!D40+LSUHSCNO!D40+LSUAg!D40+PBRC!D40+SULaw!D40+SUAg!D40</f>
        <v>0</v>
      </c>
      <c r="E40" s="33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f>LSUHSCS!B41+LSUHSCNO!B41+LSUAg!B41+PBRC!B41+SULaw!B41+SUAg!B41</f>
        <v>0</v>
      </c>
      <c r="C41" s="33">
        <f>LSUHSCS!C41+LSUHSCNO!C41+LSUAg!C41+PBRC!C41+SULaw!C41+SUAg!C41</f>
        <v>0</v>
      </c>
      <c r="D41" s="33">
        <f>LSUHSCS!D41+LSUHSCNO!D41+LSUAg!D41+PBRC!D41+SULaw!D41+SUAg!D41</f>
        <v>0</v>
      </c>
      <c r="E41" s="33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2">
        <f>LSUHSCS!B42+LSUHSCNO!B42+LSUAg!B42+PBRC!B42+SULaw!B42+SUAg!B42</f>
        <v>0</v>
      </c>
      <c r="C42" s="52">
        <f>LSUHSCS!C42+LSUHSCNO!C42+LSUAg!C42+PBRC!C42+SULaw!C42+SUAg!C42</f>
        <v>0</v>
      </c>
      <c r="D42" s="52">
        <f>LSUHSCS!D42+LSUHSCNO!D42+LSUAg!D42+PBRC!D42+SULaw!D42+SUAg!D42</f>
        <v>0</v>
      </c>
      <c r="E42" s="52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f>LSUHSCS!B44+LSUHSCNO!B44+LSUAg!B44+PBRC!B44+SULaw!B44+SUAg!B44</f>
        <v>0</v>
      </c>
      <c r="C44" s="52">
        <f>LSUHSCS!C44+LSUHSCNO!C44+LSUAg!C44+PBRC!C44+SULaw!C44+SUAg!C44</f>
        <v>0</v>
      </c>
      <c r="D44" s="52">
        <f>LSUHSCS!D44+LSUHSCNO!D44+LSUAg!D44+PBRC!D44+SULaw!D44+SUAg!D44</f>
        <v>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f>LSUHSCS!B46+LSUHSCNO!B46+LSUAg!B46+PBRC!B46+SULaw!B46+SUAg!B46</f>
        <v>0</v>
      </c>
      <c r="C46" s="52">
        <f>LSUHSCS!C46+LSUHSCNO!C46+LSUAg!C46+PBRC!C46+SULaw!C46+SUAg!C46</f>
        <v>0</v>
      </c>
      <c r="D46" s="52">
        <f>LSUHSCS!D46+LSUHSCNO!D46+LSUAg!D46+PBRC!D46+SULaw!D46+SUAg!D46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2">
        <f>LSUHSCS!B48+LSUHSCNO!B48+LSUAg!B48+PBRC!B48+SULaw!B48+SUAg!B48</f>
        <v>94013703.38999999</v>
      </c>
      <c r="C48" s="52">
        <f>LSUHSCS!C48+LSUHSCNO!C48+LSUAg!C48+PBRC!C48+SULaw!C48+SUAg!C48</f>
        <v>97968559</v>
      </c>
      <c r="D48" s="52">
        <f>LSUHSCS!D48+LSUHSCNO!D48+LSUAg!D48+PBRC!D48+SULaw!D48+SUAg!D48</f>
        <v>97599706</v>
      </c>
      <c r="E48" s="52">
        <f>D48-C48</f>
        <v>-368853</v>
      </c>
      <c r="F48" s="45">
        <f>IF(ISBLANK(E48),"  ",IF(C48&gt;0,E48/C48,IF(E48&gt;0,1,0)))</f>
        <v>-0.003765014038840767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2">
        <f>LSUHSCS!B50+LSUHSCNO!B50+LSUAg!B50+PBRC!B50+SULaw!B50+SUAg!B50</f>
        <v>13412866</v>
      </c>
      <c r="C50" s="52">
        <f>LSUHSCS!C50+LSUHSCNO!C50+LSUAg!C50+PBRC!C50+SULaw!C50+SUAg!C50</f>
        <v>16672484</v>
      </c>
      <c r="D50" s="52">
        <f>LSUHSCS!D50+LSUHSCNO!D50+LSUAg!D50+PBRC!D50+SULaw!D50+SUAg!D50</f>
        <v>16672484</v>
      </c>
      <c r="E50" s="52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2">
        <f>LSUHSCS!B52+LSUHSCNO!B52+LSUAg!B52+PBRC!B52+SULaw!B52+SUAg!B52</f>
        <v>0</v>
      </c>
      <c r="C52" s="52">
        <f>LSUHSCS!C52+LSUHSCNO!C52+LSUAg!C52+PBRC!C52+SULaw!C52+SUAg!C52</f>
        <v>0</v>
      </c>
      <c r="D52" s="52">
        <f>LSUHSCS!D52+LSUHSCNO!D52+LSUAg!D52+PBRC!D52+SULaw!D52+SUAg!D52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2">
        <f>B52+B50+B48+B46+B44+-B42+B35</f>
        <v>359868456.6100001</v>
      </c>
      <c r="C54" s="52">
        <f>C52+C50+C48+C46+C44+-C42+C35</f>
        <v>374385860</v>
      </c>
      <c r="D54" s="52">
        <f>D52+D50+D48+D46+D44+-D42+D35</f>
        <v>357765272</v>
      </c>
      <c r="E54" s="52">
        <f>D54-C54</f>
        <v>-16620588</v>
      </c>
      <c r="F54" s="45">
        <f>IF(ISBLANK(E54),"  ",IF(C54&gt;0,E54/C54,IF(E54&gt;0,1,0)))</f>
        <v>-0.04439427279652068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33">
        <f>LSUHSCS!B58+LSUHSCNO!B58+LSUAg!B58+PBRC!B58+SULaw!B58+SUAg!B58</f>
        <v>87026096.05</v>
      </c>
      <c r="C58" s="33">
        <f>LSUHSCS!C58+LSUHSCNO!C58+LSUAg!C58+PBRC!C58+SULaw!C58+SUAg!C58</f>
        <v>86536216</v>
      </c>
      <c r="D58" s="33">
        <f>LSUHSCS!D58+LSUHSCNO!D58+LSUAg!D58+PBRC!D58+SULaw!D58+SUAg!D58</f>
        <v>86965516.98</v>
      </c>
      <c r="E58" s="33">
        <f aca="true" t="shared" si="4" ref="E58:E70">D58-C58</f>
        <v>429300.9800000042</v>
      </c>
      <c r="F58" s="34">
        <f aca="true" t="shared" si="5" ref="F58:F71">IF(ISBLANK(E58),"  ",IF(C58&gt;0,E58/C58,IF(E58&gt;0,1,0)))</f>
        <v>0.004960940053121853</v>
      </c>
    </row>
    <row r="59" spans="1:6" s="100" customFormat="1" ht="26.25">
      <c r="A59" s="39" t="s">
        <v>55</v>
      </c>
      <c r="B59" s="33">
        <f>LSUHSCS!B59+LSUHSCNO!B59+LSUAg!B59+PBRC!B59+SULaw!B59+SUAg!B59</f>
        <v>75657066.506923</v>
      </c>
      <c r="C59" s="33">
        <f>LSUHSCS!C59+LSUHSCNO!C59+LSUAg!C59+PBRC!C59+SULaw!C59+SUAg!C59</f>
        <v>81644810</v>
      </c>
      <c r="D59" s="33">
        <f>LSUHSCS!D59+LSUHSCNO!D59+LSUAg!D59+PBRC!D59+SULaw!D59+SUAg!D59</f>
        <v>71658237.90535502</v>
      </c>
      <c r="E59" s="33">
        <f t="shared" si="4"/>
        <v>-9986572.094644979</v>
      </c>
      <c r="F59" s="34">
        <f t="shared" si="5"/>
        <v>-0.12231729236242915</v>
      </c>
    </row>
    <row r="60" spans="1:6" s="100" customFormat="1" ht="26.25">
      <c r="A60" s="39" t="s">
        <v>56</v>
      </c>
      <c r="B60" s="33">
        <f>LSUHSCS!B60+LSUHSCNO!B60+LSUAg!B60+PBRC!B60+SULaw!B60+SUAg!B60</f>
        <v>40053176.76312945</v>
      </c>
      <c r="C60" s="33">
        <f>LSUHSCS!C60+LSUHSCNO!C60+LSUAg!C60+PBRC!C60+SULaw!C60+SUAg!C60</f>
        <v>44651912</v>
      </c>
      <c r="D60" s="33">
        <f>LSUHSCS!D60+LSUHSCNO!D60+LSUAg!D60+PBRC!D60+SULaw!D60+SUAg!D60</f>
        <v>38507018.440859765</v>
      </c>
      <c r="E60" s="33">
        <f t="shared" si="4"/>
        <v>-6144893.559140235</v>
      </c>
      <c r="F60" s="34">
        <f t="shared" si="5"/>
        <v>-0.1376177028912051</v>
      </c>
    </row>
    <row r="61" spans="1:6" s="100" customFormat="1" ht="26.25">
      <c r="A61" s="39" t="s">
        <v>57</v>
      </c>
      <c r="B61" s="33">
        <f>LSUHSCS!B61+LSUHSCNO!B61+LSUAg!B61+PBRC!B61+SULaw!B61+SUAg!B61</f>
        <v>32591937.210102152</v>
      </c>
      <c r="C61" s="33">
        <f>LSUHSCS!C61+LSUHSCNO!C61+LSUAg!C61+PBRC!C61+SULaw!C61+SUAg!C61</f>
        <v>34758003</v>
      </c>
      <c r="D61" s="33">
        <f>LSUHSCS!D61+LSUHSCNO!D61+LSUAg!D61+PBRC!D61+SULaw!D61+SUAg!D61</f>
        <v>33503275.330791853</v>
      </c>
      <c r="E61" s="33">
        <f t="shared" si="4"/>
        <v>-1254727.6692081466</v>
      </c>
      <c r="F61" s="34">
        <f t="shared" si="5"/>
        <v>-0.03609895738855154</v>
      </c>
    </row>
    <row r="62" spans="1:6" s="100" customFormat="1" ht="26.25">
      <c r="A62" s="39" t="s">
        <v>58</v>
      </c>
      <c r="B62" s="33">
        <f>LSUHSCS!B62+LSUHSCNO!B62+LSUAg!B62+PBRC!B62+SULaw!B62+SUAg!B62</f>
        <v>6654350.92</v>
      </c>
      <c r="C62" s="33">
        <f>LSUHSCS!C62+LSUHSCNO!C62+LSUAg!C62+PBRC!C62+SULaw!C62+SUAg!C62</f>
        <v>6690535</v>
      </c>
      <c r="D62" s="33">
        <f>LSUHSCS!D62+LSUHSCNO!D62+LSUAg!D62+PBRC!D62+SULaw!D62+SUAg!D62</f>
        <v>6208207</v>
      </c>
      <c r="E62" s="33">
        <f t="shared" si="4"/>
        <v>-482328</v>
      </c>
      <c r="F62" s="34">
        <f t="shared" si="5"/>
        <v>-0.07209109585406848</v>
      </c>
    </row>
    <row r="63" spans="1:6" s="100" customFormat="1" ht="26.25">
      <c r="A63" s="39" t="s">
        <v>59</v>
      </c>
      <c r="B63" s="33">
        <f>LSUHSCS!B63+LSUHSCNO!B63+LSUAg!B63+PBRC!B63+SULaw!B63+SUAg!B63</f>
        <v>58516737.69689712</v>
      </c>
      <c r="C63" s="33">
        <f>LSUHSCS!C63+LSUHSCNO!C63+LSUAg!C63+PBRC!C63+SULaw!C63+SUAg!C63</f>
        <v>57617809</v>
      </c>
      <c r="D63" s="33">
        <f>LSUHSCS!D63+LSUHSCNO!D63+LSUAg!D63+PBRC!D63+SULaw!D63+SUAg!D63</f>
        <v>65647190.39160514</v>
      </c>
      <c r="E63" s="33">
        <f t="shared" si="4"/>
        <v>8029381.391605139</v>
      </c>
      <c r="F63" s="34">
        <f t="shared" si="5"/>
        <v>0.13935589587596325</v>
      </c>
    </row>
    <row r="64" spans="1:6" s="100" customFormat="1" ht="26.25">
      <c r="A64" s="39" t="s">
        <v>60</v>
      </c>
      <c r="B64" s="33">
        <f>LSUHSCS!B64+LSUHSCNO!B64+LSUAg!B64+PBRC!B64+SULaw!B64+SUAg!B64</f>
        <v>6880780.88</v>
      </c>
      <c r="C64" s="33">
        <f>LSUHSCS!C64+LSUHSCNO!C64+LSUAg!C64+PBRC!C64+SULaw!C64+SUAg!C64</f>
        <v>6621259</v>
      </c>
      <c r="D64" s="33">
        <f>LSUHSCS!D64+LSUHSCNO!D64+LSUAg!D64+PBRC!D64+SULaw!D64+SUAg!D64</f>
        <v>6825879</v>
      </c>
      <c r="E64" s="33">
        <f t="shared" si="4"/>
        <v>204620</v>
      </c>
      <c r="F64" s="34">
        <f t="shared" si="5"/>
        <v>0.030903488294295692</v>
      </c>
    </row>
    <row r="65" spans="1:6" s="100" customFormat="1" ht="26.25">
      <c r="A65" s="39" t="s">
        <v>61</v>
      </c>
      <c r="B65" s="33">
        <f>LSUHSCS!B65+LSUHSCNO!B65+LSUAg!B65+PBRC!B65+SULaw!B65+SUAg!B65</f>
        <v>40434408.0653118</v>
      </c>
      <c r="C65" s="33">
        <f>LSUHSCS!C65+LSUHSCNO!C65+LSUAg!C65+PBRC!C65+SULaw!C65+SUAg!C65</f>
        <v>43778735</v>
      </c>
      <c r="D65" s="33">
        <f>LSUHSCS!D65+LSUHSCNO!D65+LSUAg!D65+PBRC!D65+SULaw!D65+SUAg!D65</f>
        <v>42883666.061065756</v>
      </c>
      <c r="E65" s="33">
        <f t="shared" si="4"/>
        <v>-895068.9389342442</v>
      </c>
      <c r="F65" s="34">
        <f t="shared" si="5"/>
        <v>-0.02044529013764889</v>
      </c>
    </row>
    <row r="66" spans="1:6" s="102" customFormat="1" ht="26.25">
      <c r="A66" s="59" t="s">
        <v>62</v>
      </c>
      <c r="B66" s="52">
        <f>SUM(B58:B65)</f>
        <v>347814554.0923635</v>
      </c>
      <c r="C66" s="52">
        <f>SUM(C58:C65)</f>
        <v>362299279</v>
      </c>
      <c r="D66" s="52">
        <f>SUM(D58:D65)</f>
        <v>352198991.1096775</v>
      </c>
      <c r="E66" s="52">
        <f t="shared" si="4"/>
        <v>-10100287.890322506</v>
      </c>
      <c r="F66" s="45">
        <f t="shared" si="5"/>
        <v>-0.02787829972557717</v>
      </c>
    </row>
    <row r="67" spans="1:6" s="100" customFormat="1" ht="26.25">
      <c r="A67" s="39" t="s">
        <v>63</v>
      </c>
      <c r="B67" s="33">
        <f>LSUHSCS!B67+LSUHSCNO!B67+LSUAg!B67+PBRC!B67+SULaw!B67+SUAg!B67</f>
        <v>5671211.04</v>
      </c>
      <c r="C67" s="33">
        <f>LSUHSCS!C67+LSUHSCNO!C67+LSUAg!C67+PBRC!C67+SULaw!C67+SUAg!C67</f>
        <v>5461792</v>
      </c>
      <c r="D67" s="33">
        <f>LSUHSCS!D67+LSUHSCNO!D67+LSUAg!D67+PBRC!D67+SULaw!D67+SUAg!D67</f>
        <v>5017515</v>
      </c>
      <c r="E67" s="33">
        <f t="shared" si="4"/>
        <v>-444277</v>
      </c>
      <c r="F67" s="34">
        <f t="shared" si="5"/>
        <v>-0.0813427168226106</v>
      </c>
    </row>
    <row r="68" spans="1:6" s="100" customFormat="1" ht="26.25">
      <c r="A68" s="39" t="s">
        <v>64</v>
      </c>
      <c r="B68" s="33">
        <f>LSUHSCS!B68+LSUHSCNO!B68+LSUAg!B68+PBRC!B68+SULaw!B68+SUAg!B68</f>
        <v>6294410.51</v>
      </c>
      <c r="C68" s="33">
        <f>LSUHSCS!C68+LSUHSCNO!C68+LSUAg!C68+PBRC!C68+SULaw!C68+SUAg!C68</f>
        <v>6525608</v>
      </c>
      <c r="D68" s="33">
        <f>LSUHSCS!D68+LSUHSCNO!D68+LSUAg!D68+PBRC!D68+SULaw!D68+SUAg!D68</f>
        <v>533766.79</v>
      </c>
      <c r="E68" s="33">
        <f t="shared" si="4"/>
        <v>-5991841.21</v>
      </c>
      <c r="F68" s="34">
        <f t="shared" si="5"/>
        <v>-0.9182042822676446</v>
      </c>
    </row>
    <row r="69" spans="1:6" s="100" customFormat="1" ht="26.25">
      <c r="A69" s="39" t="s">
        <v>65</v>
      </c>
      <c r="B69" s="33">
        <f>LSUHSCS!B69+LSUHSCNO!B69+LSUAg!B69+PBRC!B69+SULaw!B69+SUAg!B69</f>
        <v>0</v>
      </c>
      <c r="C69" s="33">
        <f>LSUHSCS!C69+LSUHSCNO!C69+LSUAg!C69+PBRC!C69+SULaw!C69+SUAg!C69</f>
        <v>0</v>
      </c>
      <c r="D69" s="33">
        <f>LSUHSCS!D69+LSUHSCNO!D69+LSUAg!D69+PBRC!D69+SULaw!D69+SUAg!D69</f>
        <v>0</v>
      </c>
      <c r="E69" s="33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3">
        <f>LSUHSCS!B70+LSUHSCNO!B70+LSUAg!B70+PBRC!B70+SULaw!B70+SUAg!B70</f>
        <v>88281</v>
      </c>
      <c r="C70" s="33">
        <f>LSUHSCS!C70+LSUHSCNO!C70+LSUAg!C70+PBRC!C70+SULaw!C70+SUAg!C70</f>
        <v>99181</v>
      </c>
      <c r="D70" s="33">
        <f>LSUHSCS!D70+LSUHSCNO!D70+LSUAg!D70+PBRC!D70+SULaw!D70+SUAg!D70</f>
        <v>15000</v>
      </c>
      <c r="E70" s="33">
        <f t="shared" si="4"/>
        <v>-84181</v>
      </c>
      <c r="F70" s="34">
        <f t="shared" si="5"/>
        <v>-0.8487613555015577</v>
      </c>
    </row>
    <row r="71" spans="1:6" s="102" customFormat="1" ht="26.25">
      <c r="A71" s="60" t="s">
        <v>67</v>
      </c>
      <c r="B71" s="52">
        <f>SUM(B66:B70)</f>
        <v>359868456.6423635</v>
      </c>
      <c r="C71" s="52">
        <f>SUM(C66:C70)</f>
        <v>374385860</v>
      </c>
      <c r="D71" s="52">
        <f>SUM(D66:D70)</f>
        <v>357765272.8996775</v>
      </c>
      <c r="E71" s="52">
        <f>D71-C71</f>
        <v>-16620587.100322485</v>
      </c>
      <c r="F71" s="45">
        <f t="shared" si="5"/>
        <v>-0.04439427039344511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f>LSUHSCS!B74+LSUHSCNO!B74+LSUAg!B74+PBRC!B74+SULaw!B74+SUAg!B74</f>
        <v>161026837.76999998</v>
      </c>
      <c r="C74" s="33">
        <f>LSUHSCS!C74+LSUHSCNO!C74+LSUAg!C74+PBRC!C74+SULaw!C74+SUAg!C74</f>
        <v>161670166</v>
      </c>
      <c r="D74" s="33">
        <f>LSUHSCS!D74+LSUHSCNO!D74+LSUAg!D74+PBRC!D74+SULaw!D74+SUAg!D74</f>
        <v>161074165.1</v>
      </c>
      <c r="E74" s="33">
        <f aca="true" t="shared" si="6" ref="E74:E91">D74-C74</f>
        <v>-596000.900000006</v>
      </c>
      <c r="F74" s="34">
        <f aca="true" t="shared" si="7" ref="F74:F92">IF(ISBLANK(E74),"  ",IF(C74&gt;0,E74/C74,IF(E74&gt;0,1,0)))</f>
        <v>-0.003686523709018805</v>
      </c>
    </row>
    <row r="75" spans="1:6" s="100" customFormat="1" ht="26.25">
      <c r="A75" s="39" t="s">
        <v>70</v>
      </c>
      <c r="B75" s="33">
        <f>LSUHSCS!B75+LSUHSCNO!B75+LSUAg!B75+PBRC!B75+SULaw!B75+SUAg!B75</f>
        <v>9388811.799999997</v>
      </c>
      <c r="C75" s="33">
        <f>LSUHSCS!C75+LSUHSCNO!C75+LSUAg!C75+PBRC!C75+SULaw!C75+SUAg!C75</f>
        <v>5427589</v>
      </c>
      <c r="D75" s="33">
        <f>LSUHSCS!D75+LSUHSCNO!D75+LSUAg!D75+PBRC!D75+SULaw!D75+SUAg!D75</f>
        <v>5227685</v>
      </c>
      <c r="E75" s="33">
        <f t="shared" si="6"/>
        <v>-199904</v>
      </c>
      <c r="F75" s="34">
        <f t="shared" si="7"/>
        <v>-0.03683108651005078</v>
      </c>
    </row>
    <row r="76" spans="1:6" s="100" customFormat="1" ht="26.25">
      <c r="A76" s="39" t="s">
        <v>71</v>
      </c>
      <c r="B76" s="33">
        <f>LSUHSCS!B76+LSUHSCNO!B76+LSUAg!B76+PBRC!B76+SULaw!B76+SUAg!B76</f>
        <v>73545199.42236353</v>
      </c>
      <c r="C76" s="33">
        <f>LSUHSCS!C76+LSUHSCNO!C76+LSUAg!C76+PBRC!C76+SULaw!C76+SUAg!C76</f>
        <v>78753448</v>
      </c>
      <c r="D76" s="33">
        <f>LSUHSCS!D76+LSUHSCNO!D76+LSUAg!D76+PBRC!D76+SULaw!D76+SUAg!D76</f>
        <v>85634577.13967755</v>
      </c>
      <c r="E76" s="33">
        <f t="shared" si="6"/>
        <v>6881129.139677554</v>
      </c>
      <c r="F76" s="34">
        <f t="shared" si="7"/>
        <v>0.08737559198268442</v>
      </c>
    </row>
    <row r="77" spans="1:6" s="102" customFormat="1" ht="26.25">
      <c r="A77" s="59" t="s">
        <v>72</v>
      </c>
      <c r="B77" s="52">
        <f>SUM(B74:B76)</f>
        <v>243960848.9923635</v>
      </c>
      <c r="C77" s="52">
        <f>SUM(C74:C76)</f>
        <v>245851203</v>
      </c>
      <c r="D77" s="52">
        <f>SUM(D74:D76)</f>
        <v>251936427.23967755</v>
      </c>
      <c r="E77" s="52">
        <f t="shared" si="6"/>
        <v>6085224.239677548</v>
      </c>
      <c r="F77" s="45">
        <f t="shared" si="7"/>
        <v>0.024751655332260255</v>
      </c>
    </row>
    <row r="78" spans="1:6" s="100" customFormat="1" ht="26.25">
      <c r="A78" s="39" t="s">
        <v>73</v>
      </c>
      <c r="B78" s="33">
        <f>LSUHSCS!B78+LSUHSCNO!B78+LSUAg!B78+PBRC!B78+SULaw!B78+SUAg!B78</f>
        <v>1962536.8100000003</v>
      </c>
      <c r="C78" s="33">
        <f>LSUHSCS!C78+LSUHSCNO!C78+LSUAg!C78+PBRC!C78+SULaw!C78+SUAg!C78</f>
        <v>3367013</v>
      </c>
      <c r="D78" s="33">
        <f>LSUHSCS!D78+LSUHSCNO!D78+LSUAg!D78+PBRC!D78+SULaw!D78+SUAg!D78</f>
        <v>3107864</v>
      </c>
      <c r="E78" s="33">
        <f t="shared" si="6"/>
        <v>-259149</v>
      </c>
      <c r="F78" s="34">
        <f t="shared" si="7"/>
        <v>-0.07696703279731917</v>
      </c>
    </row>
    <row r="79" spans="1:6" s="100" customFormat="1" ht="26.25">
      <c r="A79" s="39" t="s">
        <v>74</v>
      </c>
      <c r="B79" s="33">
        <f>LSUHSCS!B79+LSUHSCNO!B79+LSUAg!B79+PBRC!B79+SULaw!B79+SUAg!B79</f>
        <v>44050235.029999994</v>
      </c>
      <c r="C79" s="33">
        <f>LSUHSCS!C79+LSUHSCNO!C79+LSUAg!C79+PBRC!C79+SULaw!C79+SUAg!C79</f>
        <v>52925484</v>
      </c>
      <c r="D79" s="33">
        <f>LSUHSCS!D79+LSUHSCNO!D79+LSUAg!D79+PBRC!D79+SULaw!D79+SUAg!D79</f>
        <v>54076516</v>
      </c>
      <c r="E79" s="33">
        <f t="shared" si="6"/>
        <v>1151032</v>
      </c>
      <c r="F79" s="34">
        <f t="shared" si="7"/>
        <v>0.02174816200074807</v>
      </c>
    </row>
    <row r="80" spans="1:6" s="100" customFormat="1" ht="26.25">
      <c r="A80" s="39" t="s">
        <v>75</v>
      </c>
      <c r="B80" s="33">
        <f>LSUHSCS!B80+LSUHSCNO!B80+LSUAg!B80+PBRC!B80+SULaw!B80+SUAg!B80</f>
        <v>10477527.52</v>
      </c>
      <c r="C80" s="33">
        <f>LSUHSCS!C80+LSUHSCNO!C80+LSUAg!C80+PBRC!C80+SULaw!C80+SUAg!C80</f>
        <v>12404254</v>
      </c>
      <c r="D80" s="33">
        <f>LSUHSCS!D80+LSUHSCNO!D80+LSUAg!D80+PBRC!D80+SULaw!D80+SUAg!D80</f>
        <v>12414838</v>
      </c>
      <c r="E80" s="33">
        <f t="shared" si="6"/>
        <v>10584</v>
      </c>
      <c r="F80" s="34">
        <f t="shared" si="7"/>
        <v>0.0008532556653548049</v>
      </c>
    </row>
    <row r="81" spans="1:6" s="102" customFormat="1" ht="26.25">
      <c r="A81" s="42" t="s">
        <v>76</v>
      </c>
      <c r="B81" s="52">
        <f>SUM(B78:B80)</f>
        <v>56490299.36</v>
      </c>
      <c r="C81" s="52">
        <f>SUM(C78:C80)</f>
        <v>68696751</v>
      </c>
      <c r="D81" s="52">
        <f>SUM(D78:D80)</f>
        <v>69599218</v>
      </c>
      <c r="E81" s="52">
        <f t="shared" si="6"/>
        <v>902467</v>
      </c>
      <c r="F81" s="45">
        <f t="shared" si="7"/>
        <v>0.013136967714819585</v>
      </c>
    </row>
    <row r="82" spans="1:6" s="100" customFormat="1" ht="26.25">
      <c r="A82" s="39" t="s">
        <v>77</v>
      </c>
      <c r="B82" s="33">
        <f>LSUHSCS!B82+LSUHSCNO!B82+LSUAg!B82+PBRC!B82+SULaw!B82+SUAg!B82</f>
        <v>6447366.789999999</v>
      </c>
      <c r="C82" s="33">
        <f>LSUHSCS!C82+LSUHSCNO!C82+LSUAg!C82+PBRC!C82+SULaw!C82+SUAg!C82</f>
        <v>4890390</v>
      </c>
      <c r="D82" s="33">
        <f>LSUHSCS!D82+LSUHSCNO!D82+LSUAg!D82+PBRC!D82+SULaw!D82+SUAg!D82</f>
        <v>5616572</v>
      </c>
      <c r="E82" s="33">
        <f t="shared" si="6"/>
        <v>726182</v>
      </c>
      <c r="F82" s="34">
        <f t="shared" si="7"/>
        <v>0.14849163359159495</v>
      </c>
    </row>
    <row r="83" spans="1:6" s="100" customFormat="1" ht="26.25">
      <c r="A83" s="39" t="s">
        <v>78</v>
      </c>
      <c r="B83" s="33">
        <f>LSUHSCS!B83+LSUHSCNO!B83+LSUAg!B83+PBRC!B83+SULaw!B83+SUAg!B83</f>
        <v>28613847.580000002</v>
      </c>
      <c r="C83" s="33">
        <f>LSUHSCS!C83+LSUHSCNO!C83+LSUAg!C83+PBRC!C83+SULaw!C83+SUAg!C83</f>
        <v>31522956</v>
      </c>
      <c r="D83" s="33">
        <f>LSUHSCS!D83+LSUHSCNO!D83+LSUAg!D83+PBRC!D83+SULaw!D83+SUAg!D83</f>
        <v>9712195.87</v>
      </c>
      <c r="E83" s="33">
        <f t="shared" si="6"/>
        <v>-21810760.130000003</v>
      </c>
      <c r="F83" s="34">
        <f t="shared" si="7"/>
        <v>-0.6919008525088828</v>
      </c>
    </row>
    <row r="84" spans="1:6" s="100" customFormat="1" ht="26.25">
      <c r="A84" s="39" t="s">
        <v>79</v>
      </c>
      <c r="B84" s="33">
        <f>LSUHSCS!B84+LSUHSCNO!B84+LSUAg!B84+PBRC!B84+SULaw!B84+SUAg!B84</f>
        <v>112820</v>
      </c>
      <c r="C84" s="33">
        <f>LSUHSCS!C84+LSUHSCNO!C84+LSUAg!C84+PBRC!C84+SULaw!C84+SUAg!C84</f>
        <v>263394</v>
      </c>
      <c r="D84" s="33">
        <f>LSUHSCS!D84+LSUHSCNO!D84+LSUAg!D84+PBRC!D84+SULaw!D84+SUAg!D84</f>
        <v>262514</v>
      </c>
      <c r="E84" s="33">
        <f t="shared" si="6"/>
        <v>-880</v>
      </c>
      <c r="F84" s="34">
        <f t="shared" si="7"/>
        <v>-0.0033410024525995278</v>
      </c>
    </row>
    <row r="85" spans="1:6" s="100" customFormat="1" ht="26.25">
      <c r="A85" s="39" t="s">
        <v>80</v>
      </c>
      <c r="B85" s="33">
        <f>LSUHSCS!B85+LSUHSCNO!B85+LSUAg!B85+PBRC!B85+SULaw!B85+SUAg!B85</f>
        <v>18604518.470000003</v>
      </c>
      <c r="C85" s="33">
        <f>LSUHSCS!C85+LSUHSCNO!C85+LSUAg!C85+PBRC!C85+SULaw!C85+SUAg!C85</f>
        <v>19078346</v>
      </c>
      <c r="D85" s="33">
        <f>LSUHSCS!D85+LSUHSCNO!D85+LSUAg!D85+PBRC!D85+SULaw!D85+SUAg!D85</f>
        <v>18211995.79</v>
      </c>
      <c r="E85" s="33">
        <f t="shared" si="6"/>
        <v>-866350.2100000009</v>
      </c>
      <c r="F85" s="34">
        <f t="shared" si="7"/>
        <v>-0.04541013198942932</v>
      </c>
    </row>
    <row r="86" spans="1:6" s="102" customFormat="1" ht="26.25">
      <c r="A86" s="42" t="s">
        <v>81</v>
      </c>
      <c r="B86" s="52">
        <f>SUM(B82:B85)</f>
        <v>53778552.84</v>
      </c>
      <c r="C86" s="52">
        <f>SUM(C82:C85)</f>
        <v>55755086</v>
      </c>
      <c r="D86" s="52">
        <f>SUM(D82:D85)</f>
        <v>33803277.66</v>
      </c>
      <c r="E86" s="52">
        <f t="shared" si="6"/>
        <v>-21951808.340000004</v>
      </c>
      <c r="F86" s="45">
        <f t="shared" si="7"/>
        <v>-0.3937184912601516</v>
      </c>
    </row>
    <row r="87" spans="1:6" s="100" customFormat="1" ht="26.25">
      <c r="A87" s="39" t="s">
        <v>82</v>
      </c>
      <c r="B87" s="33">
        <f>LSUHSCS!B87+LSUHSCNO!B87+LSUAg!B87+PBRC!B87+SULaw!B87+SUAg!B87</f>
        <v>2832778.5300000003</v>
      </c>
      <c r="C87" s="33">
        <f>LSUHSCS!C87+LSUHSCNO!C87+LSUAg!C87+PBRC!C87+SULaw!C87+SUAg!C87</f>
        <v>1805193</v>
      </c>
      <c r="D87" s="33">
        <f>LSUHSCS!D87+LSUHSCNO!D87+LSUAg!D87+PBRC!D87+SULaw!D87+SUAg!D87</f>
        <v>2103033</v>
      </c>
      <c r="E87" s="33">
        <f t="shared" si="6"/>
        <v>297840</v>
      </c>
      <c r="F87" s="34">
        <f t="shared" si="7"/>
        <v>0.16499066858779088</v>
      </c>
    </row>
    <row r="88" spans="1:6" s="100" customFormat="1" ht="26.25">
      <c r="A88" s="39" t="s">
        <v>83</v>
      </c>
      <c r="B88" s="33">
        <f>LSUHSCS!B88+LSUHSCNO!B88+LSUAg!B88+PBRC!B88+SULaw!B88+SUAg!B88</f>
        <v>353548.98</v>
      </c>
      <c r="C88" s="33">
        <f>LSUHSCS!C88+LSUHSCNO!C88+LSUAg!C88+PBRC!C88+SULaw!C88+SUAg!C88</f>
        <v>2277627</v>
      </c>
      <c r="D88" s="33">
        <f>LSUHSCS!D88+LSUHSCNO!D88+LSUAg!D88+PBRC!D88+SULaw!D88+SUAg!D88</f>
        <v>323317</v>
      </c>
      <c r="E88" s="33">
        <f t="shared" si="6"/>
        <v>-1954310</v>
      </c>
      <c r="F88" s="34">
        <f t="shared" si="7"/>
        <v>-0.8580465545938821</v>
      </c>
    </row>
    <row r="89" spans="1:6" s="100" customFormat="1" ht="26.25">
      <c r="A89" s="48" t="s">
        <v>84</v>
      </c>
      <c r="B89" s="33">
        <f>LSUHSCS!B89+LSUHSCNO!B89+LSUAg!B89+PBRC!B89+SULaw!B89+SUAg!B89</f>
        <v>2452428.7</v>
      </c>
      <c r="C89" s="33">
        <f>LSUHSCS!C89+LSUHSCNO!C89+LSUAg!C89+PBRC!C89+SULaw!C89+SUAg!C89</f>
        <v>0</v>
      </c>
      <c r="D89" s="33">
        <f>LSUHSCS!D89+LSUHSCNO!D89+LSUAg!D89+PBRC!D89+SULaw!D89+SUAg!D89</f>
        <v>0</v>
      </c>
      <c r="E89" s="33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52">
        <f>SUM(B87:B89)</f>
        <v>5638756.210000001</v>
      </c>
      <c r="C90" s="52">
        <f>SUM(C87:C89)</f>
        <v>4082820</v>
      </c>
      <c r="D90" s="52">
        <f>SUM(D87:D89)</f>
        <v>2426350</v>
      </c>
      <c r="E90" s="52">
        <f t="shared" si="6"/>
        <v>-1656470</v>
      </c>
      <c r="F90" s="45">
        <f t="shared" si="7"/>
        <v>-0.4057171268877883</v>
      </c>
    </row>
    <row r="91" spans="1:6" s="100" customFormat="1" ht="26.25">
      <c r="A91" s="48" t="s">
        <v>86</v>
      </c>
      <c r="B91" s="33">
        <f>LSUHSCS!B91+LSUHSCNO!B91+LSUAg!B91+PBRC!B91+SULaw!B91+SUAg!B91</f>
        <v>0</v>
      </c>
      <c r="C91" s="33">
        <f>LSUHSCS!C91+LSUHSCNO!C91+LSUAg!C91+PBRC!C91+SULaw!C91+SUAg!C91</f>
        <v>0</v>
      </c>
      <c r="D91" s="33">
        <f>LSUHSCS!D91+LSUHSCNO!D91+LSUAg!D91+PBRC!D91+SULaw!D91+SUAg!D91</f>
        <v>0</v>
      </c>
      <c r="E91" s="33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85">
        <f>B91+B90+B86+B81+B77</f>
        <v>359868457.40236354</v>
      </c>
      <c r="C92" s="85">
        <f>C91+C90+C86+C81+C77</f>
        <v>374385860</v>
      </c>
      <c r="D92" s="85">
        <f>D91+D90+D86+D81+D77</f>
        <v>357765272.8996775</v>
      </c>
      <c r="E92" s="68">
        <f>D92-C92</f>
        <v>-16620587.100322485</v>
      </c>
      <c r="F92" s="69">
        <f t="shared" si="7"/>
        <v>-0.04439427039344511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B8" sqref="B8"/>
    </sheetView>
  </sheetViews>
  <sheetFormatPr defaultColWidth="9.140625" defaultRowHeight="15"/>
  <cols>
    <col min="1" max="1" width="157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5" s="92" customFormat="1" ht="46.5">
      <c r="A1" s="7" t="s">
        <v>0</v>
      </c>
      <c r="B1" s="10" t="s">
        <v>1</v>
      </c>
      <c r="C1" s="1" t="s">
        <v>142</v>
      </c>
      <c r="D1" s="98"/>
      <c r="E1" s="97"/>
    </row>
    <row r="2" spans="1:5" s="92" customFormat="1" ht="46.5">
      <c r="A2" s="7" t="s">
        <v>2</v>
      </c>
      <c r="B2" s="8"/>
      <c r="C2" s="12"/>
      <c r="D2" s="97"/>
      <c r="E2" s="97"/>
    </row>
    <row r="3" spans="1:5" s="92" customFormat="1" ht="47.25" thickBot="1">
      <c r="A3" s="13" t="s">
        <v>3</v>
      </c>
      <c r="B3" s="14"/>
      <c r="C3" s="15"/>
      <c r="D3" s="97"/>
      <c r="E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f>BOR!B8+LUMCON!B8+LOSFA!B8</f>
        <v>198010473.26</v>
      </c>
      <c r="C8" s="33">
        <f>BOR!C8+LUMCON!C8+LOSFA!C8</f>
        <v>198542148</v>
      </c>
      <c r="D8" s="33">
        <f>BOR!D8+LUMCON!D8+LOSFA!D8</f>
        <v>281481147</v>
      </c>
      <c r="E8" s="33">
        <f aca="true" t="shared" si="0" ref="E8:E29">D8-C8</f>
        <v>82938999</v>
      </c>
      <c r="F8" s="34">
        <f aca="true" t="shared" si="1" ref="F8:F29">IF(ISBLANK(E8),"  ",IF(C8&gt;0,E8/C8,IF(E8&gt;0,1,0)))</f>
        <v>0.41774001054929655</v>
      </c>
    </row>
    <row r="9" spans="1:6" s="100" customFormat="1" ht="26.25">
      <c r="A9" s="32" t="s">
        <v>13</v>
      </c>
      <c r="B9" s="33">
        <f>BOR!B9+LUMCON!B9+LOSFA!B9</f>
        <v>0</v>
      </c>
      <c r="C9" s="33">
        <f>BOR!C9+LUMCON!C9+LOSFA!C9</f>
        <v>0</v>
      </c>
      <c r="D9" s="33">
        <f>BOR!D9+LUMCON!D9+LOSFA!D9</f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3">
        <f>BOR!B10+LUMCON!B10+LOSFA!B10</f>
        <v>72590385.49000001</v>
      </c>
      <c r="C10" s="33">
        <f>BOR!C10+LUMCON!C10+LOSFA!C10</f>
        <v>85111430</v>
      </c>
      <c r="D10" s="33">
        <f>BOR!D10+LUMCON!D10+LOSFA!D10</f>
        <v>82627978</v>
      </c>
      <c r="E10" s="33">
        <f t="shared" si="0"/>
        <v>-2483452</v>
      </c>
      <c r="F10" s="34">
        <f t="shared" si="1"/>
        <v>-0.029178830622397015</v>
      </c>
    </row>
    <row r="11" spans="1:6" s="100" customFormat="1" ht="26.25">
      <c r="A11" s="37" t="s">
        <v>15</v>
      </c>
      <c r="B11" s="33">
        <f>BOR!B11+LUMCON!B11+LOSFA!B11</f>
        <v>92232.62</v>
      </c>
      <c r="C11" s="33">
        <f>BOR!C11+LUMCON!C11+LOSFA!C11</f>
        <v>118700</v>
      </c>
      <c r="D11" s="33">
        <f>BOR!D11+LUMCON!D11+LOSFA!D11</f>
        <v>0</v>
      </c>
      <c r="E11" s="33">
        <f t="shared" si="0"/>
        <v>-118700</v>
      </c>
      <c r="F11" s="34">
        <f t="shared" si="1"/>
        <v>-1</v>
      </c>
    </row>
    <row r="12" spans="1:6" s="100" customFormat="1" ht="26.25">
      <c r="A12" s="39" t="s">
        <v>16</v>
      </c>
      <c r="B12" s="33">
        <f>BOR!B12+LUMCON!B12+LOSFA!B12</f>
        <v>35513</v>
      </c>
      <c r="C12" s="33">
        <f>BOR!C12+LUMCON!C12+LOSFA!C12</f>
        <v>40980</v>
      </c>
      <c r="D12" s="33">
        <f>BOR!D12+LUMCON!D12+LOSFA!D12</f>
        <v>39744</v>
      </c>
      <c r="E12" s="33">
        <f t="shared" si="0"/>
        <v>-1236</v>
      </c>
      <c r="F12" s="34">
        <f t="shared" si="1"/>
        <v>-0.030161054172767203</v>
      </c>
    </row>
    <row r="13" spans="1:6" s="100" customFormat="1" ht="26.25">
      <c r="A13" s="39" t="s">
        <v>17</v>
      </c>
      <c r="B13" s="33">
        <f>BOR!B13+LUMCON!B13+LOSFA!B13</f>
        <v>0</v>
      </c>
      <c r="C13" s="33">
        <f>BOR!C13+LUMCON!C13+LOSFA!C13</f>
        <v>0</v>
      </c>
      <c r="D13" s="33">
        <f>BOR!D13+LUMCON!D13+LOSFA!D13</f>
        <v>0</v>
      </c>
      <c r="E13" s="33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3">
        <f>BOR!B14+LUMCON!B14+LOSFA!B14</f>
        <v>0</v>
      </c>
      <c r="C14" s="33">
        <f>BOR!C14+LUMCON!C14+LOSFA!C14</f>
        <v>0</v>
      </c>
      <c r="D14" s="33">
        <f>BOR!D14+LUMCON!D14+LOSFA!D14</f>
        <v>0</v>
      </c>
      <c r="E14" s="33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3">
        <f>BOR!B15+LUMCON!B15+LOSFA!B15</f>
        <v>0</v>
      </c>
      <c r="C15" s="33">
        <f>BOR!C15+LUMCON!C15+LOSFA!C15</f>
        <v>0</v>
      </c>
      <c r="D15" s="33">
        <f>BOR!D15+LUMCON!D15+LOSFA!D15</f>
        <v>0</v>
      </c>
      <c r="E15" s="33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3">
        <f>BOR!B16+LUMCON!B16+LOSFA!B16</f>
        <v>0</v>
      </c>
      <c r="C16" s="33">
        <f>BOR!C16+LUMCON!C16+LOSFA!C16</f>
        <v>0</v>
      </c>
      <c r="D16" s="33">
        <f>BOR!D16+LUMCON!D16+LOSFA!D16</f>
        <v>0</v>
      </c>
      <c r="E16" s="33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3">
        <f>BOR!B17+LUMCON!B17+LOSFA!B17</f>
        <v>0</v>
      </c>
      <c r="C17" s="33">
        <f>BOR!C17+LUMCON!C17+LOSFA!C17</f>
        <v>0</v>
      </c>
      <c r="D17" s="33">
        <f>BOR!D17+LUMCON!D17+LOSFA!D17</f>
        <v>0</v>
      </c>
      <c r="E17" s="33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3">
        <f>BOR!B18+LUMCON!B18+LOSFA!B18</f>
        <v>0</v>
      </c>
      <c r="C18" s="33">
        <f>BOR!C18+LUMCON!C18+LOSFA!C18</f>
        <v>0</v>
      </c>
      <c r="D18" s="33">
        <f>BOR!D18+LUMCON!D18+LOSFA!D18</f>
        <v>0</v>
      </c>
      <c r="E18" s="33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3">
        <f>BOR!B19+LUMCON!B19+LOSFA!B19</f>
        <v>0</v>
      </c>
      <c r="C19" s="33">
        <f>BOR!C19+LUMCON!C19+LOSFA!C19</f>
        <v>0</v>
      </c>
      <c r="D19" s="33">
        <f>BOR!D19+LUMCON!D19+LOSFA!D19</f>
        <v>0</v>
      </c>
      <c r="E19" s="33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3">
        <f>BOR!B20+LUMCON!B20+LOSFA!B20</f>
        <v>0</v>
      </c>
      <c r="C20" s="33">
        <f>BOR!C20+LUMCON!C20+LOSFA!C20</f>
        <v>0</v>
      </c>
      <c r="D20" s="33">
        <f>BOR!D20+LUMCON!D20+LOSFA!D20</f>
        <v>0</v>
      </c>
      <c r="E20" s="33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3">
        <f>BOR!B21+LUMCON!B21+LOSFA!B21</f>
        <v>0</v>
      </c>
      <c r="C21" s="33">
        <f>BOR!C21+LUMCON!C21+LOSFA!C21</f>
        <v>0</v>
      </c>
      <c r="D21" s="33">
        <f>BOR!D21+LUMCON!D21+LOSFA!D21</f>
        <v>0</v>
      </c>
      <c r="E21" s="33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3">
        <f>BOR!B22+LUMCON!B22+LOSFA!B22</f>
        <v>19695535</v>
      </c>
      <c r="C22" s="33">
        <f>BOR!C22+LUMCON!C22+LOSFA!C22</f>
        <v>24230000</v>
      </c>
      <c r="D22" s="33">
        <f>BOR!D22+LUMCON!D22+LOSFA!D22</f>
        <v>24230000</v>
      </c>
      <c r="E22" s="33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3">
        <f>BOR!B23+LUMCON!B23+LOSFA!B23</f>
        <v>4622.35</v>
      </c>
      <c r="C23" s="33">
        <f>BOR!C23+LUMCON!C23+LOSFA!C23</f>
        <v>200000</v>
      </c>
      <c r="D23" s="33">
        <f>BOR!D23+LUMCON!D23+LOSFA!D23</f>
        <v>200000</v>
      </c>
      <c r="E23" s="33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3">
        <f>BOR!B24+LUMCON!B24+LOSFA!B24</f>
        <v>0</v>
      </c>
      <c r="C24" s="33">
        <f>BOR!C24+LUMCON!C24+LOSFA!C24</f>
        <v>0</v>
      </c>
      <c r="D24" s="33">
        <f>BOR!D24+LUMCON!D24+LOSFA!D24</f>
        <v>0</v>
      </c>
      <c r="E24" s="33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3">
        <f>BOR!B25+LUMCON!B25+LOSFA!B25</f>
        <v>52112</v>
      </c>
      <c r="C25" s="33">
        <f>BOR!C25+LUMCON!C25+LOSFA!C25</f>
        <v>60000</v>
      </c>
      <c r="D25" s="33">
        <f>BOR!D25+LUMCON!D25+LOSFA!D25</f>
        <v>60000</v>
      </c>
      <c r="E25" s="33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3">
        <f>BOR!B26+LUMCON!B26+LOSFA!B26</f>
        <v>0</v>
      </c>
      <c r="C26" s="33">
        <f>BOR!C26+LUMCON!C26+LOSFA!C26</f>
        <v>0</v>
      </c>
      <c r="D26" s="33">
        <f>BOR!D26+LUMCON!D26+LOSFA!D26</f>
        <v>0</v>
      </c>
      <c r="E26" s="33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3">
        <f>BOR!B27+LUMCON!B27+LOSFA!B27</f>
        <v>52510370</v>
      </c>
      <c r="C27" s="33">
        <f>BOR!C27+LUMCON!C27+LOSFA!C27</f>
        <v>60261750</v>
      </c>
      <c r="D27" s="33">
        <f>BOR!D27+LUMCON!D27+LOSFA!D27</f>
        <v>57898234</v>
      </c>
      <c r="E27" s="33">
        <f t="shared" si="0"/>
        <v>-2363516</v>
      </c>
      <c r="F27" s="34">
        <f t="shared" si="1"/>
        <v>-0.03922083245176252</v>
      </c>
    </row>
    <row r="28" spans="1:6" s="100" customFormat="1" ht="26.25">
      <c r="A28" s="40" t="s">
        <v>87</v>
      </c>
      <c r="B28" s="33">
        <f>BOR!B28+LUMCON!B28+LOSFA!B28</f>
        <v>200000</v>
      </c>
      <c r="C28" s="33">
        <f>BOR!C28+LUMCON!C28+LOSFA!C28</f>
        <v>200000</v>
      </c>
      <c r="D28" s="33">
        <f>BOR!D28+LUMCON!D28+LOSFA!D28</f>
        <v>200000</v>
      </c>
      <c r="E28" s="33">
        <f t="shared" si="0"/>
        <v>0</v>
      </c>
      <c r="F28" s="34">
        <f t="shared" si="1"/>
        <v>0</v>
      </c>
    </row>
    <row r="29" spans="1:6" s="100" customFormat="1" ht="26.25">
      <c r="A29" s="40" t="s">
        <v>32</v>
      </c>
      <c r="B29" s="33">
        <f>BOR!B29+LUMCON!B29+LOSFA!B29</f>
        <v>0</v>
      </c>
      <c r="C29" s="33">
        <f>BOR!C29+LUMCON!C29+LOSFA!C29</f>
        <v>0</v>
      </c>
      <c r="D29" s="33">
        <f>BOR!D29+LUMCON!D29+LOSFA!D29</f>
        <v>0</v>
      </c>
      <c r="E29" s="33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f>BOR!B31+LUMCON!B31+LOSFA!B31</f>
        <v>0</v>
      </c>
      <c r="C31" s="33">
        <f>BOR!C31+LUMCON!C31+LOSFA!C31</f>
        <v>0</v>
      </c>
      <c r="D31" s="33">
        <f>BOR!D31+LUMCON!D31+LOSFA!D31</f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33">
        <f>BOR!B33+LUMCON!B33+LOSFA!B33</f>
        <v>0</v>
      </c>
      <c r="C33" s="33">
        <f>BOR!C33+LUMCON!C33+LOSFA!C33</f>
        <v>0</v>
      </c>
      <c r="D33" s="33">
        <f>BOR!D33+LUMCON!D33+LOSFA!D33</f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84"/>
      <c r="C34" s="84"/>
      <c r="D34" s="84"/>
      <c r="E34" s="36"/>
      <c r="F34" s="34" t="s">
        <v>37</v>
      </c>
    </row>
    <row r="35" spans="1:6" s="102" customFormat="1" ht="26.25">
      <c r="A35" s="43" t="s">
        <v>38</v>
      </c>
      <c r="B35" s="67">
        <f>B33+B31+B10+B9+B8</f>
        <v>270600858.75</v>
      </c>
      <c r="C35" s="67">
        <f>C33+C31+C10+C9+C8</f>
        <v>283653578</v>
      </c>
      <c r="D35" s="67">
        <f>D33+D31+D10+D9+D8</f>
        <v>364109125</v>
      </c>
      <c r="E35" s="52">
        <f>D35-C35</f>
        <v>80455547</v>
      </c>
      <c r="F35" s="45">
        <f>IF(ISBLANK(E35),"  ",IF(C35&gt;0,E35/C35,IF(E35&gt;0,1,0)))</f>
        <v>0.28364016264938496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f>BOR!B37+LUMCON!B37+LOSFA!B37</f>
        <v>0</v>
      </c>
      <c r="C37" s="33">
        <f>BOR!C37+LUMCON!C37+LOSFA!C37</f>
        <v>0</v>
      </c>
      <c r="D37" s="33">
        <f>BOR!D37+LUMCON!D37+LOSFA!D37</f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f>BOR!B38+LUMCON!B38+LOSFA!B38</f>
        <v>0</v>
      </c>
      <c r="C38" s="33">
        <f>BOR!C38+LUMCON!C38+LOSFA!C38</f>
        <v>0</v>
      </c>
      <c r="D38" s="33">
        <f>BOR!D38+LUMCON!D38+LOSFA!D38</f>
        <v>0</v>
      </c>
      <c r="E38" s="33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f>BOR!B39+LUMCON!B39+LOSFA!B39</f>
        <v>0</v>
      </c>
      <c r="C39" s="33">
        <f>BOR!C39+LUMCON!C39+LOSFA!C39</f>
        <v>0</v>
      </c>
      <c r="D39" s="33">
        <f>BOR!D39+LUMCON!D39+LOSFA!D39</f>
        <v>0</v>
      </c>
      <c r="E39" s="33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f>BOR!B40+LUMCON!B40+LOSFA!B40</f>
        <v>0</v>
      </c>
      <c r="C40" s="33">
        <f>BOR!C40+LUMCON!C40+LOSFA!C40</f>
        <v>0</v>
      </c>
      <c r="D40" s="33">
        <f>BOR!D40+LUMCON!D40+LOSFA!D40</f>
        <v>0</v>
      </c>
      <c r="E40" s="33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f>BOR!B41+LUMCON!B41+LOSFA!B41</f>
        <v>0</v>
      </c>
      <c r="C41" s="33">
        <f>BOR!C41+LUMCON!C41+LOSFA!C41</f>
        <v>0</v>
      </c>
      <c r="D41" s="33">
        <f>BOR!D41+LUMCON!D41+LOSFA!D41</f>
        <v>0</v>
      </c>
      <c r="E41" s="33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2">
        <f>BOR!B42+LUMCON!B42+LOSFA!B42</f>
        <v>0</v>
      </c>
      <c r="C42" s="52">
        <f>BOR!C42+LUMCON!C42+LOSFA!C42</f>
        <v>0</v>
      </c>
      <c r="D42" s="52">
        <f>BOR!D42+LUMCON!D42+LOSFA!D42</f>
        <v>0</v>
      </c>
      <c r="E42" s="52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f>BOR!B44+LUMCON!B44+LOSFA!B44</f>
        <v>2240069.8200000003</v>
      </c>
      <c r="C44" s="52">
        <f>BOR!C44+LUMCON!C44+LOSFA!C44</f>
        <v>15600935</v>
      </c>
      <c r="D44" s="52">
        <f>BOR!D44+LUMCON!D44+LOSFA!D44</f>
        <v>12545998</v>
      </c>
      <c r="E44" s="52">
        <f>D44-C44</f>
        <v>-3054937</v>
      </c>
      <c r="F44" s="45">
        <f>IF(ISBLANK(E44),"  ",IF(C44&gt;0,E44/C44,IF(E44&gt;0,1,0)))</f>
        <v>-0.19581755837070022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f>BOR!B46+LUMCON!B46+LOSFA!B46</f>
        <v>0</v>
      </c>
      <c r="C46" s="52">
        <f>BOR!C46+LUMCON!C46+LOSFA!C46</f>
        <v>0</v>
      </c>
      <c r="D46" s="52">
        <f>BOR!D46+LUMCON!D46+LOSFA!D46</f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2">
        <f>BOR!B48+LUMCON!B48+LOSFA!B48</f>
        <v>8237151.300000001</v>
      </c>
      <c r="C48" s="52">
        <f>BOR!C48+LUMCON!C48+LOSFA!C48</f>
        <v>11923049</v>
      </c>
      <c r="D48" s="52">
        <f>BOR!D48+LUMCON!D48+LOSFA!D48</f>
        <v>7923049</v>
      </c>
      <c r="E48" s="52">
        <f>D48-C48</f>
        <v>-4000000</v>
      </c>
      <c r="F48" s="45">
        <f>IF(ISBLANK(E48),"  ",IF(C48&gt;0,E48/C48,IF(E48&gt;0,1,0)))</f>
        <v>-0.3354846566511636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2">
        <f>BOR!B50+LUMCON!B50+LOSFA!B50</f>
        <v>45699863</v>
      </c>
      <c r="C50" s="52">
        <f>BOR!C50+LUMCON!C50+LOSFA!C50</f>
        <v>63231013</v>
      </c>
      <c r="D50" s="52">
        <f>BOR!D50+LUMCON!D50+LOSFA!D50</f>
        <v>63231013</v>
      </c>
      <c r="E50" s="52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2">
        <f>BOR!B52+LUMCON!B52+LOSFA!B52</f>
        <v>0</v>
      </c>
      <c r="C52" s="52">
        <f>BOR!C52+LUMCON!C52+LOSFA!C52</f>
        <v>0</v>
      </c>
      <c r="D52" s="52">
        <f>BOR!D52+LUMCON!D52+LOSFA!D52</f>
        <v>0</v>
      </c>
      <c r="E52" s="52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2">
        <f>B52+B50+B48+B46+B44+-B42+B35</f>
        <v>326777942.87</v>
      </c>
      <c r="C54" s="52">
        <f>C52+C50+C48+C46+C44+-C42+C35</f>
        <v>374408575</v>
      </c>
      <c r="D54" s="52">
        <f>D52+D50+D48+D46+D44+-D42+D35</f>
        <v>447809185</v>
      </c>
      <c r="E54" s="52">
        <f>D54-C54</f>
        <v>73400610</v>
      </c>
      <c r="F54" s="45">
        <f>IF(ISBLANK(E54),"  ",IF(C54&gt;0,E54/C54,IF(E54&gt;0,1,0)))</f>
        <v>0.1960441477602376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33">
        <f>BOR!B58+LUMCON!B58+LOSFA!B58</f>
        <v>154967</v>
      </c>
      <c r="C58" s="33">
        <f>BOR!C58+LUMCON!C58+LOSFA!C58</f>
        <v>155852</v>
      </c>
      <c r="D58" s="33">
        <f>BOR!D58+LUMCON!D58+LOSFA!D58</f>
        <v>118813</v>
      </c>
      <c r="E58" s="33">
        <f aca="true" t="shared" si="4" ref="E58:E70">D58-C58</f>
        <v>-37039</v>
      </c>
      <c r="F58" s="34">
        <f aca="true" t="shared" si="5" ref="F58:F71">IF(ISBLANK(E58),"  ",IF(C58&gt;0,E58/C58,IF(E58&gt;0,1,0)))</f>
        <v>-0.2376549547006134</v>
      </c>
    </row>
    <row r="59" spans="1:6" s="100" customFormat="1" ht="26.25">
      <c r="A59" s="39" t="s">
        <v>55</v>
      </c>
      <c r="B59" s="33">
        <f>BOR!B59+LUMCON!B59+LOSFA!B59</f>
        <v>8198160</v>
      </c>
      <c r="C59" s="33">
        <f>BOR!C59+LUMCON!C59+LOSFA!C59</f>
        <v>8899097</v>
      </c>
      <c r="D59" s="33">
        <f>BOR!D59+LUMCON!D59+LOSFA!D59</f>
        <v>6754814</v>
      </c>
      <c r="E59" s="33">
        <f t="shared" si="4"/>
        <v>-2144283</v>
      </c>
      <c r="F59" s="34">
        <f t="shared" si="5"/>
        <v>-0.24095512162638524</v>
      </c>
    </row>
    <row r="60" spans="1:6" s="100" customFormat="1" ht="26.25">
      <c r="A60" s="39" t="s">
        <v>56</v>
      </c>
      <c r="B60" s="33">
        <f>BOR!B60+LUMCON!B60+LOSFA!B60</f>
        <v>955148</v>
      </c>
      <c r="C60" s="33">
        <f>BOR!C60+LUMCON!C60+LOSFA!C60</f>
        <v>915234</v>
      </c>
      <c r="D60" s="33">
        <f>BOR!D60+LUMCON!D60+LOSFA!D60</f>
        <v>854183</v>
      </c>
      <c r="E60" s="33">
        <f t="shared" si="4"/>
        <v>-61051</v>
      </c>
      <c r="F60" s="34">
        <f t="shared" si="5"/>
        <v>-0.066705345299672</v>
      </c>
    </row>
    <row r="61" spans="1:6" s="100" customFormat="1" ht="26.25">
      <c r="A61" s="39" t="s">
        <v>57</v>
      </c>
      <c r="B61" s="33">
        <f>BOR!B61+LUMCON!B61+LOSFA!B61</f>
        <v>158782</v>
      </c>
      <c r="C61" s="33">
        <f>BOR!C61+LUMCON!C61+LOSFA!C61</f>
        <v>100738</v>
      </c>
      <c r="D61" s="33">
        <f>BOR!D61+LUMCON!D61+LOSFA!D61</f>
        <v>135992</v>
      </c>
      <c r="E61" s="33">
        <f t="shared" si="4"/>
        <v>35254</v>
      </c>
      <c r="F61" s="34">
        <f t="shared" si="5"/>
        <v>0.3499573150151879</v>
      </c>
    </row>
    <row r="62" spans="1:6" s="100" customFormat="1" ht="26.25">
      <c r="A62" s="39" t="s">
        <v>58</v>
      </c>
      <c r="B62" s="33">
        <f>BOR!B62+LUMCON!B62+LOSFA!B62</f>
        <v>9082666</v>
      </c>
      <c r="C62" s="33">
        <f>BOR!C62+LUMCON!C62+LOSFA!C62</f>
        <v>14182872</v>
      </c>
      <c r="D62" s="33">
        <f>BOR!D62+LUMCON!D62+LOSFA!D62</f>
        <v>14286354</v>
      </c>
      <c r="E62" s="33">
        <f t="shared" si="4"/>
        <v>103482</v>
      </c>
      <c r="F62" s="34">
        <f t="shared" si="5"/>
        <v>0.007296265523654166</v>
      </c>
    </row>
    <row r="63" spans="1:6" s="100" customFormat="1" ht="26.25">
      <c r="A63" s="39" t="s">
        <v>59</v>
      </c>
      <c r="B63" s="33">
        <f>BOR!B63+LUMCON!B63+LOSFA!B63</f>
        <v>46978293</v>
      </c>
      <c r="C63" s="33">
        <f>BOR!C63+LUMCON!C63+LOSFA!C63</f>
        <v>66053447</v>
      </c>
      <c r="D63" s="33">
        <f>BOR!D63+LUMCON!D63+LOSFA!D63</f>
        <v>64696263</v>
      </c>
      <c r="E63" s="33">
        <f t="shared" si="4"/>
        <v>-1357184</v>
      </c>
      <c r="F63" s="34">
        <f t="shared" si="5"/>
        <v>-0.020546755114839048</v>
      </c>
    </row>
    <row r="64" spans="1:6" s="100" customFormat="1" ht="26.25">
      <c r="A64" s="39" t="s">
        <v>60</v>
      </c>
      <c r="B64" s="33">
        <f>BOR!B64+LUMCON!B64+LOSFA!B64</f>
        <v>230555674</v>
      </c>
      <c r="C64" s="33">
        <f>BOR!C64+LUMCON!C64+LOSFA!C64</f>
        <v>241646657</v>
      </c>
      <c r="D64" s="33">
        <f>BOR!D64+LUMCON!D64+LOSFA!D64</f>
        <v>320454575</v>
      </c>
      <c r="E64" s="33">
        <f t="shared" si="4"/>
        <v>78807918</v>
      </c>
      <c r="F64" s="34">
        <f t="shared" si="5"/>
        <v>0.3261287326644043</v>
      </c>
    </row>
    <row r="65" spans="1:6" s="100" customFormat="1" ht="26.25">
      <c r="A65" s="39" t="s">
        <v>61</v>
      </c>
      <c r="B65" s="33">
        <f>BOR!B65+LUMCON!B65+LOSFA!B65</f>
        <v>1293265</v>
      </c>
      <c r="C65" s="33">
        <f>BOR!C65+LUMCON!C65+LOSFA!C65</f>
        <v>888344</v>
      </c>
      <c r="D65" s="33">
        <f>BOR!D65+LUMCON!D65+LOSFA!D65</f>
        <v>941857</v>
      </c>
      <c r="E65" s="33">
        <f t="shared" si="4"/>
        <v>53513</v>
      </c>
      <c r="F65" s="34">
        <f t="shared" si="5"/>
        <v>0.06023905153859316</v>
      </c>
    </row>
    <row r="66" spans="1:6" s="102" customFormat="1" ht="26.25">
      <c r="A66" s="59" t="s">
        <v>62</v>
      </c>
      <c r="B66" s="52">
        <f>SUM(B58:B65)</f>
        <v>297376955</v>
      </c>
      <c r="C66" s="52">
        <f>SUM(C58:C65)</f>
        <v>332842241</v>
      </c>
      <c r="D66" s="52">
        <f>SUM(D58:D65)</f>
        <v>408242851</v>
      </c>
      <c r="E66" s="52">
        <f t="shared" si="4"/>
        <v>75400610</v>
      </c>
      <c r="F66" s="45">
        <f t="shared" si="5"/>
        <v>0.22653557965919355</v>
      </c>
    </row>
    <row r="67" spans="1:6" s="100" customFormat="1" ht="26.25">
      <c r="A67" s="39" t="s">
        <v>63</v>
      </c>
      <c r="B67" s="33">
        <f>BOR!B67+LUMCON!B67+LOSFA!B67</f>
        <v>0</v>
      </c>
      <c r="C67" s="33">
        <f>BOR!C67+LUMCON!C67+LOSFA!C67</f>
        <v>0</v>
      </c>
      <c r="D67" s="33">
        <f>BOR!D67+LUMCON!D67+LOSFA!D67</f>
        <v>0</v>
      </c>
      <c r="E67" s="33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3">
        <f>BOR!B68+LUMCON!B68+LOSFA!B68</f>
        <v>0</v>
      </c>
      <c r="C68" s="33">
        <f>BOR!C68+LUMCON!C68+LOSFA!C68</f>
        <v>0</v>
      </c>
      <c r="D68" s="33">
        <f>BOR!D68+LUMCON!D68+LOSFA!D68</f>
        <v>0</v>
      </c>
      <c r="E68" s="33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3">
        <f>BOR!B69+LUMCON!B69+LOSFA!B69</f>
        <v>0</v>
      </c>
      <c r="C69" s="33">
        <f>BOR!C69+LUMCON!C69+LOSFA!C69</f>
        <v>0</v>
      </c>
      <c r="D69" s="33">
        <f>BOR!D69+LUMCON!D69+LOSFA!D69</f>
        <v>0</v>
      </c>
      <c r="E69" s="33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3">
        <f>BOR!B70+LUMCON!B70+LOSFA!B70</f>
        <v>29400989</v>
      </c>
      <c r="C70" s="33">
        <f>BOR!C70+LUMCON!C70+LOSFA!C70</f>
        <v>41566334</v>
      </c>
      <c r="D70" s="33">
        <f>BOR!D70+LUMCON!D70+LOSFA!D70</f>
        <v>39566334</v>
      </c>
      <c r="E70" s="33">
        <f t="shared" si="4"/>
        <v>-2000000</v>
      </c>
      <c r="F70" s="34">
        <f t="shared" si="5"/>
        <v>-0.04811586222638734</v>
      </c>
    </row>
    <row r="71" spans="1:6" s="102" customFormat="1" ht="26.25">
      <c r="A71" s="60" t="s">
        <v>67</v>
      </c>
      <c r="B71" s="52">
        <f>SUM(B66:B70)</f>
        <v>326777944</v>
      </c>
      <c r="C71" s="52">
        <f>SUM(C66:C70)</f>
        <v>374408575</v>
      </c>
      <c r="D71" s="52">
        <f>SUM(D66:D70)</f>
        <v>447809185</v>
      </c>
      <c r="E71" s="52">
        <f>D71-C71</f>
        <v>73400610</v>
      </c>
      <c r="F71" s="45">
        <f t="shared" si="5"/>
        <v>0.1960441477602376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f>BOR!B74+LUMCON!B74+LOSFA!B74</f>
        <v>11067727</v>
      </c>
      <c r="C74" s="33">
        <f>BOR!C74+LUMCON!C74+LOSFA!C74</f>
        <v>12416127</v>
      </c>
      <c r="D74" s="33">
        <f>BOR!D74+LUMCON!D74+LOSFA!D74</f>
        <v>12997306</v>
      </c>
      <c r="E74" s="33">
        <f aca="true" t="shared" si="6" ref="E74:E91">D74-C74</f>
        <v>581179</v>
      </c>
      <c r="F74" s="34">
        <f aca="true" t="shared" si="7" ref="F74:F92">IF(ISBLANK(E74),"  ",IF(C74&gt;0,E74/C74,IF(E74&gt;0,1,0)))</f>
        <v>0.04680839685354378</v>
      </c>
    </row>
    <row r="75" spans="1:6" s="100" customFormat="1" ht="26.25">
      <c r="A75" s="39" t="s">
        <v>70</v>
      </c>
      <c r="B75" s="33">
        <f>BOR!B75+LUMCON!B75+LOSFA!B75</f>
        <v>171479</v>
      </c>
      <c r="C75" s="33">
        <f>BOR!C75+LUMCON!C75+LOSFA!C75</f>
        <v>225674</v>
      </c>
      <c r="D75" s="33">
        <f>BOR!D75+LUMCON!D75+LOSFA!D75</f>
        <v>240010</v>
      </c>
      <c r="E75" s="33">
        <f t="shared" si="6"/>
        <v>14336</v>
      </c>
      <c r="F75" s="34">
        <f t="shared" si="7"/>
        <v>0.06352526210374257</v>
      </c>
    </row>
    <row r="76" spans="1:6" s="100" customFormat="1" ht="26.25">
      <c r="A76" s="39" t="s">
        <v>71</v>
      </c>
      <c r="B76" s="33">
        <f>BOR!B76+LUMCON!B76+LOSFA!B76</f>
        <v>5112040</v>
      </c>
      <c r="C76" s="33">
        <f>BOR!C76+LUMCON!C76+LOSFA!C76</f>
        <v>5693188</v>
      </c>
      <c r="D76" s="33">
        <f>BOR!D76+LUMCON!D76+LOSFA!D76</f>
        <v>5924066</v>
      </c>
      <c r="E76" s="33">
        <f t="shared" si="6"/>
        <v>230878</v>
      </c>
      <c r="F76" s="34">
        <f t="shared" si="7"/>
        <v>0.04055337712367833</v>
      </c>
    </row>
    <row r="77" spans="1:6" s="102" customFormat="1" ht="26.25">
      <c r="A77" s="59" t="s">
        <v>72</v>
      </c>
      <c r="B77" s="52">
        <f>SUM(B74:B76)</f>
        <v>16351246</v>
      </c>
      <c r="C77" s="52">
        <f>SUM(C74:C76)</f>
        <v>18334989</v>
      </c>
      <c r="D77" s="52">
        <f>SUM(D74:D76)</f>
        <v>19161382</v>
      </c>
      <c r="E77" s="52">
        <f t="shared" si="6"/>
        <v>826393</v>
      </c>
      <c r="F77" s="45">
        <f t="shared" si="7"/>
        <v>0.04507191141483641</v>
      </c>
    </row>
    <row r="78" spans="1:6" s="100" customFormat="1" ht="26.25">
      <c r="A78" s="39" t="s">
        <v>73</v>
      </c>
      <c r="B78" s="33">
        <f>BOR!B78+LUMCON!B78+LOSFA!B78</f>
        <v>266946</v>
      </c>
      <c r="C78" s="33">
        <f>BOR!C78+LUMCON!C78+LOSFA!C78</f>
        <v>419232</v>
      </c>
      <c r="D78" s="33">
        <f>BOR!D78+LUMCON!D78+LOSFA!D78</f>
        <v>468528</v>
      </c>
      <c r="E78" s="33">
        <f t="shared" si="6"/>
        <v>49296</v>
      </c>
      <c r="F78" s="34">
        <f t="shared" si="7"/>
        <v>0.11758644378291734</v>
      </c>
    </row>
    <row r="79" spans="1:6" s="100" customFormat="1" ht="26.25">
      <c r="A79" s="39" t="s">
        <v>74</v>
      </c>
      <c r="B79" s="33">
        <f>BOR!B79+LUMCON!B79+LOSFA!B79</f>
        <v>2238267</v>
      </c>
      <c r="C79" s="33">
        <f>BOR!C79+LUMCON!C79+LOSFA!C79</f>
        <v>2599136</v>
      </c>
      <c r="D79" s="33">
        <f>BOR!D79+LUMCON!D79+LOSFA!D79</f>
        <v>6323531</v>
      </c>
      <c r="E79" s="33">
        <f t="shared" si="6"/>
        <v>3724395</v>
      </c>
      <c r="F79" s="34">
        <f t="shared" si="7"/>
        <v>1.4329357909705378</v>
      </c>
    </row>
    <row r="80" spans="1:6" s="100" customFormat="1" ht="26.25">
      <c r="A80" s="39" t="s">
        <v>75</v>
      </c>
      <c r="B80" s="33">
        <f>BOR!B80+LUMCON!B80+LOSFA!B80</f>
        <v>166600</v>
      </c>
      <c r="C80" s="33">
        <f>BOR!C80+LUMCON!C80+LOSFA!C80</f>
        <v>221578</v>
      </c>
      <c r="D80" s="33">
        <f>BOR!D80+LUMCON!D80+LOSFA!D80</f>
        <v>225828</v>
      </c>
      <c r="E80" s="33">
        <f t="shared" si="6"/>
        <v>4250</v>
      </c>
      <c r="F80" s="34">
        <f t="shared" si="7"/>
        <v>0.01918060457265613</v>
      </c>
    </row>
    <row r="81" spans="1:6" s="102" customFormat="1" ht="26.25">
      <c r="A81" s="42" t="s">
        <v>76</v>
      </c>
      <c r="B81" s="52">
        <f>SUM(B78:B80)</f>
        <v>2671813</v>
      </c>
      <c r="C81" s="52">
        <f>SUM(C78:C80)</f>
        <v>3239946</v>
      </c>
      <c r="D81" s="52">
        <f>SUM(D78:D80)</f>
        <v>7017887</v>
      </c>
      <c r="E81" s="52">
        <f t="shared" si="6"/>
        <v>3777941</v>
      </c>
      <c r="F81" s="45">
        <f t="shared" si="7"/>
        <v>1.1660506070162897</v>
      </c>
    </row>
    <row r="82" spans="1:6" s="100" customFormat="1" ht="26.25">
      <c r="A82" s="39" t="s">
        <v>77</v>
      </c>
      <c r="B82" s="33">
        <f>BOR!B82+LUMCON!B82+LOSFA!B82</f>
        <v>5323229</v>
      </c>
      <c r="C82" s="33">
        <f>BOR!C82+LUMCON!C82+LOSFA!C82</f>
        <v>6864810</v>
      </c>
      <c r="D82" s="33">
        <f>BOR!D82+LUMCON!D82+LOSFA!D82</f>
        <v>6682509</v>
      </c>
      <c r="E82" s="33">
        <f t="shared" si="6"/>
        <v>-182301</v>
      </c>
      <c r="F82" s="34">
        <f t="shared" si="7"/>
        <v>-0.02655586971817137</v>
      </c>
    </row>
    <row r="83" spans="1:6" s="100" customFormat="1" ht="26.25">
      <c r="A83" s="39" t="s">
        <v>78</v>
      </c>
      <c r="B83" s="33">
        <f>BOR!B83+LUMCON!B83+LOSFA!B83</f>
        <v>296849054</v>
      </c>
      <c r="C83" s="33">
        <f>BOR!C83+LUMCON!C83+LOSFA!C83</f>
        <v>339638782</v>
      </c>
      <c r="D83" s="33">
        <f>BOR!D83+LUMCON!D83+LOSFA!D83</f>
        <v>411227368</v>
      </c>
      <c r="E83" s="33">
        <f t="shared" si="6"/>
        <v>71588586</v>
      </c>
      <c r="F83" s="34">
        <f t="shared" si="7"/>
        <v>0.21077859712734454</v>
      </c>
    </row>
    <row r="84" spans="1:6" s="100" customFormat="1" ht="26.25">
      <c r="A84" s="39" t="s">
        <v>79</v>
      </c>
      <c r="B84" s="33">
        <f>BOR!B84+LUMCON!B84+LOSFA!B84</f>
        <v>0</v>
      </c>
      <c r="C84" s="33">
        <f>BOR!C84+LUMCON!C84+LOSFA!C84</f>
        <v>0</v>
      </c>
      <c r="D84" s="33">
        <f>BOR!D84+LUMCON!D84+LOSFA!D84</f>
        <v>0</v>
      </c>
      <c r="E84" s="33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3">
        <f>BOR!B85+LUMCON!B85+LOSFA!B85</f>
        <v>5387386</v>
      </c>
      <c r="C85" s="33">
        <f>BOR!C85+LUMCON!C85+LOSFA!C85</f>
        <v>5958806</v>
      </c>
      <c r="D85" s="33">
        <f>BOR!D85+LUMCON!D85+LOSFA!D85</f>
        <v>3476273</v>
      </c>
      <c r="E85" s="33">
        <f t="shared" si="6"/>
        <v>-2482533</v>
      </c>
      <c r="F85" s="34">
        <f t="shared" si="7"/>
        <v>-0.41661584552341524</v>
      </c>
    </row>
    <row r="86" spans="1:6" s="102" customFormat="1" ht="26.25">
      <c r="A86" s="42" t="s">
        <v>81</v>
      </c>
      <c r="B86" s="52">
        <f>SUM(B82:B85)</f>
        <v>307559669</v>
      </c>
      <c r="C86" s="52">
        <f>SUM(C82:C85)</f>
        <v>352462398</v>
      </c>
      <c r="D86" s="52">
        <f>SUM(D82:D85)</f>
        <v>421386150</v>
      </c>
      <c r="E86" s="52">
        <f t="shared" si="6"/>
        <v>68923752</v>
      </c>
      <c r="F86" s="45">
        <f t="shared" si="7"/>
        <v>0.19554923416256165</v>
      </c>
    </row>
    <row r="87" spans="1:6" s="100" customFormat="1" ht="26.25">
      <c r="A87" s="39" t="s">
        <v>82</v>
      </c>
      <c r="B87" s="33">
        <f>BOR!B87+LUMCON!B87+LOSFA!B87</f>
        <v>180960</v>
      </c>
      <c r="C87" s="33">
        <f>BOR!C87+LUMCON!C87+LOSFA!C87</f>
        <v>299942</v>
      </c>
      <c r="D87" s="33">
        <f>BOR!D87+LUMCON!D87+LOSFA!D87</f>
        <v>213766</v>
      </c>
      <c r="E87" s="33">
        <f t="shared" si="6"/>
        <v>-86176</v>
      </c>
      <c r="F87" s="34">
        <f t="shared" si="7"/>
        <v>-0.28730887971674524</v>
      </c>
    </row>
    <row r="88" spans="1:6" s="100" customFormat="1" ht="26.25">
      <c r="A88" s="39" t="s">
        <v>83</v>
      </c>
      <c r="B88" s="33">
        <f>BOR!B88+LUMCON!B88+LOSFA!B88</f>
        <v>14256</v>
      </c>
      <c r="C88" s="33">
        <f>BOR!C88+LUMCON!C88+LOSFA!C88</f>
        <v>0</v>
      </c>
      <c r="D88" s="33">
        <f>BOR!D88+LUMCON!D88+LOSFA!D88</f>
        <v>30000</v>
      </c>
      <c r="E88" s="33">
        <f t="shared" si="6"/>
        <v>30000</v>
      </c>
      <c r="F88" s="34">
        <f t="shared" si="7"/>
        <v>1</v>
      </c>
    </row>
    <row r="89" spans="1:6" s="100" customFormat="1" ht="26.25">
      <c r="A89" s="48" t="s">
        <v>84</v>
      </c>
      <c r="B89" s="33">
        <f>BOR!B89+LUMCON!B89+LOSFA!B89</f>
        <v>0</v>
      </c>
      <c r="C89" s="33">
        <f>BOR!C89+LUMCON!C89+LOSFA!C89</f>
        <v>0</v>
      </c>
      <c r="D89" s="33">
        <f>BOR!D89+LUMCON!D89+LOSFA!D89</f>
        <v>0</v>
      </c>
      <c r="E89" s="33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52">
        <f>SUM(B87:B89)</f>
        <v>195216</v>
      </c>
      <c r="C90" s="52">
        <f>SUM(C87:C89)</f>
        <v>299942</v>
      </c>
      <c r="D90" s="52">
        <f>SUM(D87:D89)</f>
        <v>243766</v>
      </c>
      <c r="E90" s="52">
        <f t="shared" si="6"/>
        <v>-56176</v>
      </c>
      <c r="F90" s="45">
        <f t="shared" si="7"/>
        <v>-0.18728954264491135</v>
      </c>
    </row>
    <row r="91" spans="1:6" s="100" customFormat="1" ht="26.25">
      <c r="A91" s="48" t="s">
        <v>86</v>
      </c>
      <c r="B91" s="33">
        <f>BOR!B91+LUMCON!B91+LOSFA!B91</f>
        <v>0</v>
      </c>
      <c r="C91" s="33">
        <f>BOR!C91+LUMCON!C91+LOSFA!C91</f>
        <v>0</v>
      </c>
      <c r="D91" s="33">
        <f>BOR!D91+LUMCON!D91+LOSFA!D91</f>
        <v>0</v>
      </c>
      <c r="E91" s="33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85">
        <f>B91+B90+B86+B81+B77</f>
        <v>326777944</v>
      </c>
      <c r="C92" s="85">
        <f>C91+C90+C86+C81+C77</f>
        <v>374337275</v>
      </c>
      <c r="D92" s="85">
        <f>D91+D90+D86+D81+D77</f>
        <v>447809185</v>
      </c>
      <c r="E92" s="68">
        <f>D92-C92</f>
        <v>73471910</v>
      </c>
      <c r="F92" s="69">
        <f t="shared" si="7"/>
        <v>0.19627195822270171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25" right="0.25" top="0.75" bottom="0.75" header="0.3" footer="0.3"/>
  <pageSetup fitToHeight="1" fitToWidth="1" horizontalDpi="600" verticalDpi="600" orientation="portrait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F61" sqref="F61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97"/>
      <c r="E1" s="10" t="s">
        <v>1</v>
      </c>
      <c r="F1" s="1" t="s">
        <v>0</v>
      </c>
      <c r="G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13666150.26</v>
      </c>
      <c r="C8" s="33">
        <v>14197825</v>
      </c>
      <c r="D8" s="33">
        <v>12772006</v>
      </c>
      <c r="E8" s="33">
        <f aca="true" t="shared" si="0" ref="E8:E29">D8-C8</f>
        <v>-1425819</v>
      </c>
      <c r="F8" s="34">
        <f aca="true" t="shared" si="1" ref="F8:F29">IF(ISBLANK(E8),"  ",IF(C8&gt;0,E8/C8,IF(E8&gt;0,1,0)))</f>
        <v>-0.10042517075678845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19992390.090000004</v>
      </c>
      <c r="C10" s="36">
        <v>24748700</v>
      </c>
      <c r="D10" s="36">
        <v>24630000</v>
      </c>
      <c r="E10" s="36">
        <f t="shared" si="0"/>
        <v>-118700</v>
      </c>
      <c r="F10" s="34">
        <f t="shared" si="1"/>
        <v>-0.0047962115181807525</v>
      </c>
    </row>
    <row r="11" spans="1:6" s="100" customFormat="1" ht="26.25">
      <c r="A11" s="37" t="s">
        <v>15</v>
      </c>
      <c r="B11" s="38">
        <v>92232.62</v>
      </c>
      <c r="C11" s="38">
        <v>118700</v>
      </c>
      <c r="D11" s="38">
        <v>0</v>
      </c>
      <c r="E11" s="36">
        <f t="shared" si="0"/>
        <v>-118700</v>
      </c>
      <c r="F11" s="34">
        <f t="shared" si="1"/>
        <v>-1</v>
      </c>
    </row>
    <row r="12" spans="1:6" s="100" customFormat="1" ht="26.25">
      <c r="A12" s="39" t="s">
        <v>16</v>
      </c>
      <c r="B12" s="38">
        <v>0</v>
      </c>
      <c r="C12" s="38">
        <v>0</v>
      </c>
      <c r="D12" s="38">
        <v>0</v>
      </c>
      <c r="E12" s="36">
        <f t="shared" si="0"/>
        <v>0</v>
      </c>
      <c r="F12" s="34">
        <f t="shared" si="1"/>
        <v>0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19695535</v>
      </c>
      <c r="C22" s="38">
        <v>24230000</v>
      </c>
      <c r="D22" s="38">
        <v>24230000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4622.35</v>
      </c>
      <c r="C23" s="38">
        <v>200000</v>
      </c>
      <c r="D23" s="38">
        <v>200000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200000</v>
      </c>
      <c r="C28" s="38">
        <v>200000</v>
      </c>
      <c r="D28" s="38">
        <v>200000</v>
      </c>
      <c r="E28" s="36">
        <f>D28-C28</f>
        <v>0</v>
      </c>
      <c r="F28" s="34">
        <f>IF(ISBLANK(E28),"  ",IF(C28&gt;0,E28/C28,IF(E28&gt;0,1,0)))</f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33658540.35</v>
      </c>
      <c r="C35" s="44">
        <v>38946525</v>
      </c>
      <c r="D35" s="44">
        <v>37402006</v>
      </c>
      <c r="E35" s="44">
        <f>D35-C35</f>
        <v>-1544519</v>
      </c>
      <c r="F35" s="45">
        <f>IF(ISBLANK(E35),"  ",IF(C35&gt;0,E35/C35,IF(E35&gt;0,1,0)))</f>
        <v>-0.03965742771659346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1615100.82</v>
      </c>
      <c r="C44" s="52">
        <v>11500000</v>
      </c>
      <c r="D44" s="52">
        <v>11500000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897090.98</v>
      </c>
      <c r="C48" s="50">
        <v>2730299</v>
      </c>
      <c r="D48" s="50">
        <v>2730299</v>
      </c>
      <c r="E48" s="50">
        <f>D48-C48</f>
        <v>0</v>
      </c>
      <c r="F48" s="45">
        <f>IF(ISBLANK(E48),"  ",IF(C48&gt;0,E48/C48,IF(E48&gt;0,1,0)))</f>
        <v>0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9988075</v>
      </c>
      <c r="C50" s="54">
        <v>12172314</v>
      </c>
      <c r="D50" s="54">
        <v>12172314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46158807.150000006</v>
      </c>
      <c r="C54" s="50">
        <v>65349138</v>
      </c>
      <c r="D54" s="50">
        <v>63804619</v>
      </c>
      <c r="E54" s="50">
        <f>D54-C54</f>
        <v>-1544519</v>
      </c>
      <c r="F54" s="45">
        <f>IF(ISBLANK(E54),"  ",IF(C54&gt;0,E54/C54,IF(E54&gt;0,1,0)))</f>
        <v>-0.02363487946849429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0</v>
      </c>
      <c r="C58" s="29">
        <v>0</v>
      </c>
      <c r="D58" s="29">
        <v>0</v>
      </c>
      <c r="E58" s="29">
        <f aca="true" t="shared" si="4" ref="E58:E71">D58-C58</f>
        <v>0</v>
      </c>
      <c r="F58" s="34">
        <f aca="true" t="shared" si="5" ref="F58:F71">IF(ISBLANK(E58),"  ",IF(C58&gt;0,E58/C58,IF(E58&gt;0,1,0)))</f>
        <v>0</v>
      </c>
    </row>
    <row r="59" spans="1:6" s="100" customFormat="1" ht="26.25">
      <c r="A59" s="39" t="s">
        <v>55</v>
      </c>
      <c r="B59" s="38">
        <v>0</v>
      </c>
      <c r="C59" s="38">
        <v>0</v>
      </c>
      <c r="D59" s="38">
        <v>0</v>
      </c>
      <c r="E59" s="38">
        <f t="shared" si="4"/>
        <v>0</v>
      </c>
      <c r="F59" s="34">
        <f t="shared" si="5"/>
        <v>0</v>
      </c>
    </row>
    <row r="60" spans="1:6" s="100" customFormat="1" ht="26.25">
      <c r="A60" s="39" t="s">
        <v>56</v>
      </c>
      <c r="B60" s="38">
        <v>0</v>
      </c>
      <c r="C60" s="38">
        <v>0</v>
      </c>
      <c r="D60" s="38">
        <v>0</v>
      </c>
      <c r="E60" s="38">
        <f t="shared" si="4"/>
        <v>0</v>
      </c>
      <c r="F60" s="34">
        <f t="shared" si="5"/>
        <v>0</v>
      </c>
    </row>
    <row r="61" spans="1:6" s="100" customFormat="1" ht="26.25">
      <c r="A61" s="39" t="s">
        <v>57</v>
      </c>
      <c r="B61" s="38">
        <v>0</v>
      </c>
      <c r="C61" s="38">
        <v>0</v>
      </c>
      <c r="D61" s="38">
        <v>0</v>
      </c>
      <c r="E61" s="38">
        <f t="shared" si="4"/>
        <v>0</v>
      </c>
      <c r="F61" s="34">
        <f t="shared" si="5"/>
        <v>0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46158807</v>
      </c>
      <c r="C63" s="38">
        <v>65349138</v>
      </c>
      <c r="D63" s="38">
        <v>63804619</v>
      </c>
      <c r="E63" s="38">
        <f t="shared" si="4"/>
        <v>-1544519</v>
      </c>
      <c r="F63" s="34">
        <f t="shared" si="5"/>
        <v>-0.02363487946849429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0</v>
      </c>
      <c r="C65" s="38">
        <v>0</v>
      </c>
      <c r="D65" s="38">
        <v>0</v>
      </c>
      <c r="E65" s="38">
        <f t="shared" si="4"/>
        <v>0</v>
      </c>
      <c r="F65" s="34">
        <f t="shared" si="5"/>
        <v>0</v>
      </c>
    </row>
    <row r="66" spans="1:6" s="102" customFormat="1" ht="26.25">
      <c r="A66" s="59" t="s">
        <v>62</v>
      </c>
      <c r="B66" s="44">
        <v>46158807</v>
      </c>
      <c r="C66" s="44">
        <v>65349138</v>
      </c>
      <c r="D66" s="44">
        <v>63804619</v>
      </c>
      <c r="E66" s="44">
        <f t="shared" si="4"/>
        <v>-1544519</v>
      </c>
      <c r="F66" s="45">
        <f t="shared" si="5"/>
        <v>-0.02363487946849429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0</v>
      </c>
      <c r="C70" s="38">
        <v>0</v>
      </c>
      <c r="D70" s="38">
        <v>0</v>
      </c>
      <c r="E70" s="38">
        <f t="shared" si="4"/>
        <v>0</v>
      </c>
      <c r="F70" s="34">
        <f t="shared" si="5"/>
        <v>0</v>
      </c>
    </row>
    <row r="71" spans="1:6" s="102" customFormat="1" ht="26.25">
      <c r="A71" s="60" t="s">
        <v>67</v>
      </c>
      <c r="B71" s="61">
        <v>46158807</v>
      </c>
      <c r="C71" s="61">
        <v>65349138</v>
      </c>
      <c r="D71" s="61">
        <v>63804619</v>
      </c>
      <c r="E71" s="61">
        <f t="shared" si="4"/>
        <v>-1544519</v>
      </c>
      <c r="F71" s="45">
        <f t="shared" si="5"/>
        <v>-0.02363487946849429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4283200</v>
      </c>
      <c r="C74" s="33">
        <v>4373534</v>
      </c>
      <c r="D74" s="33">
        <v>5529561</v>
      </c>
      <c r="E74" s="29">
        <f aca="true" t="shared" si="6" ref="E74:E92">D74-C74</f>
        <v>1156027</v>
      </c>
      <c r="F74" s="34">
        <f aca="true" t="shared" si="7" ref="F74:F92">IF(ISBLANK(E74),"  ",IF(C74&gt;0,E74/C74,IF(E74&gt;0,1,0)))</f>
        <v>0.2643233138235578</v>
      </c>
    </row>
    <row r="75" spans="1:6" s="100" customFormat="1" ht="26.25">
      <c r="A75" s="39" t="s">
        <v>70</v>
      </c>
      <c r="B75" s="36">
        <v>62303</v>
      </c>
      <c r="C75" s="36">
        <v>66251</v>
      </c>
      <c r="D75" s="36">
        <v>80587</v>
      </c>
      <c r="E75" s="38">
        <f t="shared" si="6"/>
        <v>14336</v>
      </c>
      <c r="F75" s="34">
        <f t="shared" si="7"/>
        <v>0.2163891865783158</v>
      </c>
    </row>
    <row r="76" spans="1:6" s="100" customFormat="1" ht="26.25">
      <c r="A76" s="39" t="s">
        <v>71</v>
      </c>
      <c r="B76" s="29">
        <v>1842841</v>
      </c>
      <c r="C76" s="29">
        <v>1972875</v>
      </c>
      <c r="D76" s="29">
        <v>2426769</v>
      </c>
      <c r="E76" s="38">
        <f t="shared" si="6"/>
        <v>453894</v>
      </c>
      <c r="F76" s="34">
        <f t="shared" si="7"/>
        <v>0.23006728758791103</v>
      </c>
    </row>
    <row r="77" spans="1:6" s="102" customFormat="1" ht="26.25">
      <c r="A77" s="59" t="s">
        <v>72</v>
      </c>
      <c r="B77" s="61">
        <v>6188344</v>
      </c>
      <c r="C77" s="61">
        <v>6412660</v>
      </c>
      <c r="D77" s="61">
        <v>8036917</v>
      </c>
      <c r="E77" s="44">
        <f t="shared" si="6"/>
        <v>1624257</v>
      </c>
      <c r="F77" s="45">
        <f t="shared" si="7"/>
        <v>0.25328911871204773</v>
      </c>
    </row>
    <row r="78" spans="1:6" s="100" customFormat="1" ht="26.25">
      <c r="A78" s="39" t="s">
        <v>73</v>
      </c>
      <c r="B78" s="36">
        <v>57642</v>
      </c>
      <c r="C78" s="36">
        <v>64004</v>
      </c>
      <c r="D78" s="36">
        <v>114800</v>
      </c>
      <c r="E78" s="38">
        <f t="shared" si="6"/>
        <v>50796</v>
      </c>
      <c r="F78" s="34">
        <f t="shared" si="7"/>
        <v>0.793637897631398</v>
      </c>
    </row>
    <row r="79" spans="1:6" s="100" customFormat="1" ht="26.25">
      <c r="A79" s="39" t="s">
        <v>74</v>
      </c>
      <c r="B79" s="33">
        <v>1661498</v>
      </c>
      <c r="C79" s="33">
        <v>1717128</v>
      </c>
      <c r="D79" s="33">
        <v>5454325</v>
      </c>
      <c r="E79" s="38">
        <f t="shared" si="6"/>
        <v>3737197</v>
      </c>
      <c r="F79" s="34">
        <f t="shared" si="7"/>
        <v>2.1764230738768453</v>
      </c>
    </row>
    <row r="80" spans="1:6" s="100" customFormat="1" ht="26.25">
      <c r="A80" s="39" t="s">
        <v>75</v>
      </c>
      <c r="B80" s="29">
        <v>29876</v>
      </c>
      <c r="C80" s="29">
        <v>42700</v>
      </c>
      <c r="D80" s="29">
        <v>51350</v>
      </c>
      <c r="E80" s="38">
        <f t="shared" si="6"/>
        <v>8650</v>
      </c>
      <c r="F80" s="34">
        <f t="shared" si="7"/>
        <v>0.202576112412178</v>
      </c>
    </row>
    <row r="81" spans="1:6" s="102" customFormat="1" ht="26.25">
      <c r="A81" s="42" t="s">
        <v>76</v>
      </c>
      <c r="B81" s="61">
        <v>1749016</v>
      </c>
      <c r="C81" s="61">
        <v>1823832</v>
      </c>
      <c r="D81" s="61">
        <v>5620475</v>
      </c>
      <c r="E81" s="44">
        <f t="shared" si="6"/>
        <v>3796643</v>
      </c>
      <c r="F81" s="45">
        <f t="shared" si="7"/>
        <v>2.081684606915549</v>
      </c>
    </row>
    <row r="82" spans="1:6" s="100" customFormat="1" ht="26.25">
      <c r="A82" s="39" t="s">
        <v>77</v>
      </c>
      <c r="B82" s="29">
        <v>737616</v>
      </c>
      <c r="C82" s="29">
        <v>1246301</v>
      </c>
      <c r="D82" s="29">
        <v>1064000</v>
      </c>
      <c r="E82" s="38">
        <f t="shared" si="6"/>
        <v>-182301</v>
      </c>
      <c r="F82" s="34">
        <f t="shared" si="7"/>
        <v>-0.14627365299393966</v>
      </c>
    </row>
    <row r="83" spans="1:6" s="100" customFormat="1" ht="26.25">
      <c r="A83" s="39" t="s">
        <v>78</v>
      </c>
      <c r="B83" s="38">
        <v>33546543</v>
      </c>
      <c r="C83" s="38">
        <v>51746247</v>
      </c>
      <c r="D83" s="38">
        <v>47549091</v>
      </c>
      <c r="E83" s="38">
        <f t="shared" si="6"/>
        <v>-4197156</v>
      </c>
      <c r="F83" s="34">
        <f t="shared" si="7"/>
        <v>-0.08111034603147162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3793512</v>
      </c>
      <c r="C85" s="38">
        <v>3890356</v>
      </c>
      <c r="D85" s="38">
        <v>1392770</v>
      </c>
      <c r="E85" s="38">
        <f t="shared" si="6"/>
        <v>-2497586</v>
      </c>
      <c r="F85" s="34">
        <f t="shared" si="7"/>
        <v>-0.6419942031012071</v>
      </c>
    </row>
    <row r="86" spans="1:6" s="102" customFormat="1" ht="26.25">
      <c r="A86" s="42" t="s">
        <v>81</v>
      </c>
      <c r="B86" s="44">
        <v>38077671</v>
      </c>
      <c r="C86" s="44">
        <v>56882904</v>
      </c>
      <c r="D86" s="44">
        <v>50005861</v>
      </c>
      <c r="E86" s="44">
        <f t="shared" si="6"/>
        <v>-6877043</v>
      </c>
      <c r="F86" s="45">
        <f t="shared" si="7"/>
        <v>-0.12089824035706756</v>
      </c>
    </row>
    <row r="87" spans="1:6" s="100" customFormat="1" ht="26.25">
      <c r="A87" s="39" t="s">
        <v>82</v>
      </c>
      <c r="B87" s="38">
        <v>143776</v>
      </c>
      <c r="C87" s="38">
        <v>229742</v>
      </c>
      <c r="D87" s="38">
        <v>141366</v>
      </c>
      <c r="E87" s="38">
        <f t="shared" si="6"/>
        <v>-88376</v>
      </c>
      <c r="F87" s="34">
        <f t="shared" si="7"/>
        <v>-0.38467498324207156</v>
      </c>
    </row>
    <row r="88" spans="1:6" s="100" customFormat="1" ht="26.25">
      <c r="A88" s="39" t="s">
        <v>83</v>
      </c>
      <c r="B88" s="38">
        <v>0</v>
      </c>
      <c r="C88" s="38">
        <v>0</v>
      </c>
      <c r="D88" s="38">
        <v>0</v>
      </c>
      <c r="E88" s="38">
        <f t="shared" si="6"/>
        <v>0</v>
      </c>
      <c r="F88" s="34">
        <f t="shared" si="7"/>
        <v>0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143776</v>
      </c>
      <c r="C90" s="61">
        <v>229742</v>
      </c>
      <c r="D90" s="61">
        <v>141366</v>
      </c>
      <c r="E90" s="61">
        <f t="shared" si="6"/>
        <v>-88376</v>
      </c>
      <c r="F90" s="45">
        <f t="shared" si="7"/>
        <v>-0.38467498324207156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46158807</v>
      </c>
      <c r="C92" s="64">
        <v>65349138</v>
      </c>
      <c r="D92" s="64">
        <v>63804619</v>
      </c>
      <c r="E92" s="64">
        <f t="shared" si="6"/>
        <v>-1544519</v>
      </c>
      <c r="F92" s="65">
        <f t="shared" si="7"/>
        <v>-0.02363487946849429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7" right="0.7" top="0.75" bottom="0.75" header="0.3" footer="0.3"/>
  <pageSetup fitToHeight="1" fitToWidth="1" horizontalDpi="600" verticalDpi="600" orientation="portrait" scale="2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70" zoomScaleNormal="70" zoomScalePageLayoutView="0" workbookViewId="0" topLeftCell="A1">
      <selection activeCell="F18" sqref="F18"/>
    </sheetView>
  </sheetViews>
  <sheetFormatPr defaultColWidth="9.140625" defaultRowHeight="15"/>
  <cols>
    <col min="1" max="1" width="121.140625" style="91" customWidth="1"/>
    <col min="2" max="2" width="32.7109375" style="94" customWidth="1"/>
    <col min="3" max="5" width="32.8515625" style="94" customWidth="1"/>
    <col min="6" max="6" width="25.57421875" style="95" customWidth="1"/>
    <col min="7" max="7" width="30.28125" style="91" customWidth="1"/>
    <col min="8" max="8" width="25.140625" style="91" customWidth="1"/>
    <col min="9" max="16384" width="9.140625" style="91" customWidth="1"/>
  </cols>
  <sheetData>
    <row r="1" spans="1:8" s="92" customFormat="1" ht="46.5">
      <c r="A1" s="7" t="s">
        <v>0</v>
      </c>
      <c r="B1" s="8"/>
      <c r="C1" s="8"/>
      <c r="D1" s="10" t="s">
        <v>1</v>
      </c>
      <c r="E1" s="226" t="s">
        <v>143</v>
      </c>
      <c r="F1" s="98"/>
      <c r="H1" s="97"/>
    </row>
    <row r="2" spans="1:8" s="92" customFormat="1" ht="46.5">
      <c r="A2" s="7" t="s">
        <v>2</v>
      </c>
      <c r="B2" s="8"/>
      <c r="C2" s="8"/>
      <c r="D2" s="8"/>
      <c r="E2" s="8"/>
      <c r="F2" s="12"/>
      <c r="G2" s="97"/>
      <c r="H2" s="97"/>
    </row>
    <row r="3" spans="1:8" s="92" customFormat="1" ht="47.25" thickBot="1">
      <c r="A3" s="13" t="s">
        <v>3</v>
      </c>
      <c r="B3" s="14"/>
      <c r="C3" s="14"/>
      <c r="D3" s="14"/>
      <c r="E3" s="14"/>
      <c r="F3" s="15"/>
      <c r="G3" s="97"/>
      <c r="H3" s="97"/>
    </row>
    <row r="4" spans="1:6" s="100" customFormat="1" ht="27" thickTop="1">
      <c r="A4" s="20" t="s">
        <v>4</v>
      </c>
      <c r="B4" s="21" t="s">
        <v>5</v>
      </c>
      <c r="C4" s="22" t="s">
        <v>6</v>
      </c>
      <c r="D4" s="22" t="s">
        <v>6</v>
      </c>
      <c r="E4" s="22" t="s">
        <v>7</v>
      </c>
      <c r="F4" s="23" t="s">
        <v>8</v>
      </c>
    </row>
    <row r="5" spans="1:6" s="101" customFormat="1" ht="26.25">
      <c r="A5" s="25"/>
      <c r="B5" s="26" t="s">
        <v>141</v>
      </c>
      <c r="C5" s="26" t="s">
        <v>141</v>
      </c>
      <c r="D5" s="26" t="s">
        <v>145</v>
      </c>
      <c r="E5" s="26" t="s">
        <v>141</v>
      </c>
      <c r="F5" s="27" t="s">
        <v>9</v>
      </c>
    </row>
    <row r="6" spans="1:6" s="100" customFormat="1" ht="26.25">
      <c r="A6" s="28" t="s">
        <v>10</v>
      </c>
      <c r="B6" s="29"/>
      <c r="C6" s="29"/>
      <c r="D6" s="29"/>
      <c r="E6" s="29"/>
      <c r="F6" s="30"/>
    </row>
    <row r="7" spans="1:6" s="100" customFormat="1" ht="26.25">
      <c r="A7" s="28" t="s">
        <v>11</v>
      </c>
      <c r="B7" s="29"/>
      <c r="C7" s="29"/>
      <c r="D7" s="29"/>
      <c r="E7" s="29"/>
      <c r="F7" s="31"/>
    </row>
    <row r="8" spans="1:6" s="100" customFormat="1" ht="26.25">
      <c r="A8" s="32" t="s">
        <v>12</v>
      </c>
      <c r="B8" s="33">
        <v>2242927</v>
      </c>
      <c r="C8" s="33">
        <v>2242927</v>
      </c>
      <c r="D8" s="33">
        <v>2277892</v>
      </c>
      <c r="E8" s="33">
        <f aca="true" t="shared" si="0" ref="E8:E29">D8-C8</f>
        <v>34965</v>
      </c>
      <c r="F8" s="34">
        <f aca="true" t="shared" si="1" ref="F8:F29">IF(ISBLANK(E8),"  ",IF(C8&gt;0,E8/C8,IF(E8&gt;0,1,0)))</f>
        <v>0.01558900490296831</v>
      </c>
    </row>
    <row r="9" spans="1:6" s="100" customFormat="1" ht="26.25">
      <c r="A9" s="32" t="s">
        <v>13</v>
      </c>
      <c r="B9" s="33">
        <v>0</v>
      </c>
      <c r="C9" s="33">
        <v>0</v>
      </c>
      <c r="D9" s="33">
        <v>0</v>
      </c>
      <c r="E9" s="33">
        <f t="shared" si="0"/>
        <v>0</v>
      </c>
      <c r="F9" s="34">
        <f t="shared" si="1"/>
        <v>0</v>
      </c>
    </row>
    <row r="10" spans="1:6" s="100" customFormat="1" ht="26.25">
      <c r="A10" s="35" t="s">
        <v>14</v>
      </c>
      <c r="B10" s="36">
        <v>35513.4</v>
      </c>
      <c r="C10" s="36">
        <v>40980</v>
      </c>
      <c r="D10" s="36">
        <v>39744</v>
      </c>
      <c r="E10" s="36">
        <f t="shared" si="0"/>
        <v>-1236</v>
      </c>
      <c r="F10" s="34">
        <f t="shared" si="1"/>
        <v>-0.030161054172767203</v>
      </c>
    </row>
    <row r="11" spans="1:6" s="100" customFormat="1" ht="26.25">
      <c r="A11" s="37" t="s">
        <v>15</v>
      </c>
      <c r="B11" s="38">
        <v>0</v>
      </c>
      <c r="C11" s="38">
        <v>0</v>
      </c>
      <c r="D11" s="38">
        <v>0</v>
      </c>
      <c r="E11" s="36">
        <f t="shared" si="0"/>
        <v>0</v>
      </c>
      <c r="F11" s="34">
        <f t="shared" si="1"/>
        <v>0</v>
      </c>
    </row>
    <row r="12" spans="1:6" s="100" customFormat="1" ht="26.25">
      <c r="A12" s="39" t="s">
        <v>16</v>
      </c>
      <c r="B12" s="38">
        <v>35513</v>
      </c>
      <c r="C12" s="38">
        <v>40980</v>
      </c>
      <c r="D12" s="38">
        <v>39744</v>
      </c>
      <c r="E12" s="36">
        <f t="shared" si="0"/>
        <v>-1236</v>
      </c>
      <c r="F12" s="34">
        <f t="shared" si="1"/>
        <v>-0.030161054172767203</v>
      </c>
    </row>
    <row r="13" spans="1:6" s="100" customFormat="1" ht="26.25">
      <c r="A13" s="39" t="s">
        <v>17</v>
      </c>
      <c r="B13" s="38">
        <v>0</v>
      </c>
      <c r="C13" s="38">
        <v>0</v>
      </c>
      <c r="D13" s="38">
        <v>0</v>
      </c>
      <c r="E13" s="36">
        <f t="shared" si="0"/>
        <v>0</v>
      </c>
      <c r="F13" s="34">
        <f t="shared" si="1"/>
        <v>0</v>
      </c>
    </row>
    <row r="14" spans="1:6" s="100" customFormat="1" ht="26.25">
      <c r="A14" s="39" t="s">
        <v>18</v>
      </c>
      <c r="B14" s="38">
        <v>0</v>
      </c>
      <c r="C14" s="38">
        <v>0</v>
      </c>
      <c r="D14" s="38">
        <v>0</v>
      </c>
      <c r="E14" s="36">
        <f t="shared" si="0"/>
        <v>0</v>
      </c>
      <c r="F14" s="34">
        <f t="shared" si="1"/>
        <v>0</v>
      </c>
    </row>
    <row r="15" spans="1:6" s="100" customFormat="1" ht="26.25">
      <c r="A15" s="39" t="s">
        <v>19</v>
      </c>
      <c r="B15" s="38">
        <v>0</v>
      </c>
      <c r="C15" s="38">
        <v>0</v>
      </c>
      <c r="D15" s="38">
        <v>0</v>
      </c>
      <c r="E15" s="36">
        <f t="shared" si="0"/>
        <v>0</v>
      </c>
      <c r="F15" s="34">
        <f t="shared" si="1"/>
        <v>0</v>
      </c>
    </row>
    <row r="16" spans="1:6" s="100" customFormat="1" ht="26.25">
      <c r="A16" s="39" t="s">
        <v>20</v>
      </c>
      <c r="B16" s="38">
        <v>0</v>
      </c>
      <c r="C16" s="38">
        <v>0</v>
      </c>
      <c r="D16" s="38">
        <v>0</v>
      </c>
      <c r="E16" s="36">
        <f t="shared" si="0"/>
        <v>0</v>
      </c>
      <c r="F16" s="34">
        <f t="shared" si="1"/>
        <v>0</v>
      </c>
    </row>
    <row r="17" spans="1:6" s="100" customFormat="1" ht="26.25">
      <c r="A17" s="39" t="s">
        <v>21</v>
      </c>
      <c r="B17" s="38">
        <v>0</v>
      </c>
      <c r="C17" s="38">
        <v>0</v>
      </c>
      <c r="D17" s="38">
        <v>0</v>
      </c>
      <c r="E17" s="36">
        <f t="shared" si="0"/>
        <v>0</v>
      </c>
      <c r="F17" s="34">
        <f t="shared" si="1"/>
        <v>0</v>
      </c>
    </row>
    <row r="18" spans="1:6" s="100" customFormat="1" ht="26.25">
      <c r="A18" s="39" t="s">
        <v>22</v>
      </c>
      <c r="B18" s="38">
        <v>0</v>
      </c>
      <c r="C18" s="38">
        <v>0</v>
      </c>
      <c r="D18" s="38">
        <v>0</v>
      </c>
      <c r="E18" s="36">
        <f t="shared" si="0"/>
        <v>0</v>
      </c>
      <c r="F18" s="34">
        <f t="shared" si="1"/>
        <v>0</v>
      </c>
    </row>
    <row r="19" spans="1:6" s="100" customFormat="1" ht="26.25">
      <c r="A19" s="39" t="s">
        <v>23</v>
      </c>
      <c r="B19" s="38">
        <v>0</v>
      </c>
      <c r="C19" s="38">
        <v>0</v>
      </c>
      <c r="D19" s="38">
        <v>0</v>
      </c>
      <c r="E19" s="36">
        <f t="shared" si="0"/>
        <v>0</v>
      </c>
      <c r="F19" s="34">
        <f t="shared" si="1"/>
        <v>0</v>
      </c>
    </row>
    <row r="20" spans="1:6" s="100" customFormat="1" ht="26.25">
      <c r="A20" s="39" t="s">
        <v>24</v>
      </c>
      <c r="B20" s="38">
        <v>0</v>
      </c>
      <c r="C20" s="38">
        <v>0</v>
      </c>
      <c r="D20" s="38">
        <v>0</v>
      </c>
      <c r="E20" s="36">
        <f t="shared" si="0"/>
        <v>0</v>
      </c>
      <c r="F20" s="34">
        <f t="shared" si="1"/>
        <v>0</v>
      </c>
    </row>
    <row r="21" spans="1:6" s="100" customFormat="1" ht="26.25">
      <c r="A21" s="39" t="s">
        <v>25</v>
      </c>
      <c r="B21" s="38">
        <v>0</v>
      </c>
      <c r="C21" s="38">
        <v>0</v>
      </c>
      <c r="D21" s="38">
        <v>0</v>
      </c>
      <c r="E21" s="36">
        <f t="shared" si="0"/>
        <v>0</v>
      </c>
      <c r="F21" s="34">
        <f t="shared" si="1"/>
        <v>0</v>
      </c>
    </row>
    <row r="22" spans="1:6" s="100" customFormat="1" ht="26.25">
      <c r="A22" s="39" t="s">
        <v>26</v>
      </c>
      <c r="B22" s="38">
        <v>0</v>
      </c>
      <c r="C22" s="38">
        <v>0</v>
      </c>
      <c r="D22" s="38">
        <v>0</v>
      </c>
      <c r="E22" s="36">
        <f t="shared" si="0"/>
        <v>0</v>
      </c>
      <c r="F22" s="34">
        <f t="shared" si="1"/>
        <v>0</v>
      </c>
    </row>
    <row r="23" spans="1:6" s="100" customFormat="1" ht="26.25">
      <c r="A23" s="40" t="s">
        <v>27</v>
      </c>
      <c r="B23" s="38">
        <v>0</v>
      </c>
      <c r="C23" s="38">
        <v>0</v>
      </c>
      <c r="D23" s="38">
        <v>0</v>
      </c>
      <c r="E23" s="36">
        <f t="shared" si="0"/>
        <v>0</v>
      </c>
      <c r="F23" s="34">
        <f t="shared" si="1"/>
        <v>0</v>
      </c>
    </row>
    <row r="24" spans="1:6" s="100" customFormat="1" ht="26.25">
      <c r="A24" s="40" t="s">
        <v>28</v>
      </c>
      <c r="B24" s="38">
        <v>0</v>
      </c>
      <c r="C24" s="38">
        <v>0</v>
      </c>
      <c r="D24" s="38">
        <v>0</v>
      </c>
      <c r="E24" s="36">
        <f t="shared" si="0"/>
        <v>0</v>
      </c>
      <c r="F24" s="34">
        <f t="shared" si="1"/>
        <v>0</v>
      </c>
    </row>
    <row r="25" spans="1:6" s="100" customFormat="1" ht="26.25">
      <c r="A25" s="40" t="s">
        <v>29</v>
      </c>
      <c r="B25" s="38">
        <v>0</v>
      </c>
      <c r="C25" s="38">
        <v>0</v>
      </c>
      <c r="D25" s="38">
        <v>0</v>
      </c>
      <c r="E25" s="36">
        <f t="shared" si="0"/>
        <v>0</v>
      </c>
      <c r="F25" s="34">
        <f t="shared" si="1"/>
        <v>0</v>
      </c>
    </row>
    <row r="26" spans="1:6" s="100" customFormat="1" ht="26.25">
      <c r="A26" s="40" t="s">
        <v>30</v>
      </c>
      <c r="B26" s="38">
        <v>0</v>
      </c>
      <c r="C26" s="38">
        <v>0</v>
      </c>
      <c r="D26" s="38">
        <v>0</v>
      </c>
      <c r="E26" s="36">
        <f t="shared" si="0"/>
        <v>0</v>
      </c>
      <c r="F26" s="34">
        <f t="shared" si="1"/>
        <v>0</v>
      </c>
    </row>
    <row r="27" spans="1:6" s="100" customFormat="1" ht="26.25">
      <c r="A27" s="40" t="s">
        <v>31</v>
      </c>
      <c r="B27" s="38">
        <v>0</v>
      </c>
      <c r="C27" s="38">
        <v>0</v>
      </c>
      <c r="D27" s="38">
        <v>0</v>
      </c>
      <c r="E27" s="36">
        <f t="shared" si="0"/>
        <v>0</v>
      </c>
      <c r="F27" s="34">
        <f t="shared" si="1"/>
        <v>0</v>
      </c>
    </row>
    <row r="28" spans="1:6" s="100" customFormat="1" ht="26.25">
      <c r="A28" s="40" t="s">
        <v>87</v>
      </c>
      <c r="B28" s="38">
        <v>0</v>
      </c>
      <c r="C28" s="38">
        <v>0</v>
      </c>
      <c r="D28" s="38">
        <v>0</v>
      </c>
      <c r="E28" s="36">
        <f>D28-C28</f>
        <v>0</v>
      </c>
      <c r="F28" s="34">
        <f t="shared" si="1"/>
        <v>0</v>
      </c>
    </row>
    <row r="29" spans="1:6" s="100" customFormat="1" ht="26.25">
      <c r="A29" s="40" t="s">
        <v>32</v>
      </c>
      <c r="B29" s="38">
        <v>0</v>
      </c>
      <c r="C29" s="38">
        <v>0</v>
      </c>
      <c r="D29" s="38">
        <v>0</v>
      </c>
      <c r="E29" s="36">
        <f t="shared" si="0"/>
        <v>0</v>
      </c>
      <c r="F29" s="34">
        <f t="shared" si="1"/>
        <v>0</v>
      </c>
    </row>
    <row r="30" spans="1:6" s="100" customFormat="1" ht="26.25">
      <c r="A30" s="41" t="s">
        <v>33</v>
      </c>
      <c r="B30" s="38"/>
      <c r="C30" s="38"/>
      <c r="D30" s="38"/>
      <c r="E30" s="38"/>
      <c r="F30" s="30"/>
    </row>
    <row r="31" spans="1:6" s="100" customFormat="1" ht="26.25">
      <c r="A31" s="37" t="s">
        <v>34</v>
      </c>
      <c r="B31" s="33">
        <v>0</v>
      </c>
      <c r="C31" s="33">
        <v>0</v>
      </c>
      <c r="D31" s="33">
        <v>0</v>
      </c>
      <c r="E31" s="33">
        <f>D31-C31</f>
        <v>0</v>
      </c>
      <c r="F31" s="34">
        <f>IF(ISBLANK(E31),"  ",IF(C31&gt;0,E31/C31,IF(E31&gt;0,1,0)))</f>
        <v>0</v>
      </c>
    </row>
    <row r="32" spans="1:6" s="100" customFormat="1" ht="26.25">
      <c r="A32" s="42" t="s">
        <v>35</v>
      </c>
      <c r="B32" s="38"/>
      <c r="C32" s="38"/>
      <c r="D32" s="38"/>
      <c r="E32" s="38"/>
      <c r="F32" s="30"/>
    </row>
    <row r="33" spans="1:6" s="100" customFormat="1" ht="26.25">
      <c r="A33" s="37" t="s">
        <v>34</v>
      </c>
      <c r="B33" s="29">
        <v>0</v>
      </c>
      <c r="C33" s="29">
        <v>0</v>
      </c>
      <c r="D33" s="29">
        <v>0</v>
      </c>
      <c r="E33" s="33">
        <f>D33-C33</f>
        <v>0</v>
      </c>
      <c r="F33" s="34">
        <f>IF(ISBLANK(E33),"  ",IF(C33&gt;0,E33/C33,IF(E33&gt;0,1,0)))</f>
        <v>0</v>
      </c>
    </row>
    <row r="34" spans="1:6" s="100" customFormat="1" ht="26.25">
      <c r="A34" s="39" t="s">
        <v>36</v>
      </c>
      <c r="B34" s="38"/>
      <c r="C34" s="38"/>
      <c r="D34" s="38"/>
      <c r="E34" s="36"/>
      <c r="F34" s="34" t="str">
        <f>IF(ISBLANK(E34),"  ",IF(C34&gt;0,E34/C34,IF(E34&gt;0,1,0)))</f>
        <v>  </v>
      </c>
    </row>
    <row r="35" spans="1:6" s="102" customFormat="1" ht="26.25">
      <c r="A35" s="43" t="s">
        <v>38</v>
      </c>
      <c r="B35" s="44">
        <v>2278440.4</v>
      </c>
      <c r="C35" s="44">
        <v>2283907</v>
      </c>
      <c r="D35" s="44">
        <v>2317636</v>
      </c>
      <c r="E35" s="44">
        <f>D35-C35</f>
        <v>33729</v>
      </c>
      <c r="F35" s="45">
        <f>IF(ISBLANK(E35),"  ",IF(C35&gt;0,E35/C35,IF(E35&gt;0,1,0)))</f>
        <v>0.014768114463504862</v>
      </c>
    </row>
    <row r="36" spans="1:6" s="100" customFormat="1" ht="26.25">
      <c r="A36" s="41" t="s">
        <v>39</v>
      </c>
      <c r="B36" s="38"/>
      <c r="C36" s="38"/>
      <c r="D36" s="38"/>
      <c r="E36" s="38"/>
      <c r="F36" s="30"/>
    </row>
    <row r="37" spans="1:6" s="100" customFormat="1" ht="26.25">
      <c r="A37" s="47" t="s">
        <v>40</v>
      </c>
      <c r="B37" s="33">
        <v>0</v>
      </c>
      <c r="C37" s="33">
        <v>0</v>
      </c>
      <c r="D37" s="33">
        <v>0</v>
      </c>
      <c r="E37" s="33">
        <f aca="true" t="shared" si="2" ref="E37:E42">D37-C37</f>
        <v>0</v>
      </c>
      <c r="F37" s="34">
        <f aca="true" t="shared" si="3" ref="F37:F42">IF(ISBLANK(E37),"  ",IF(C37&gt;0,E37/C37,IF(E37&gt;0,1,0)))</f>
        <v>0</v>
      </c>
    </row>
    <row r="38" spans="1:6" s="100" customFormat="1" ht="26.25">
      <c r="A38" s="48" t="s">
        <v>41</v>
      </c>
      <c r="B38" s="33">
        <v>0</v>
      </c>
      <c r="C38" s="33">
        <v>0</v>
      </c>
      <c r="D38" s="33">
        <v>0</v>
      </c>
      <c r="E38" s="36">
        <f t="shared" si="2"/>
        <v>0</v>
      </c>
      <c r="F38" s="34">
        <f t="shared" si="3"/>
        <v>0</v>
      </c>
    </row>
    <row r="39" spans="1:6" s="100" customFormat="1" ht="26.25">
      <c r="A39" s="48" t="s">
        <v>42</v>
      </c>
      <c r="B39" s="33">
        <v>0</v>
      </c>
      <c r="C39" s="33">
        <v>0</v>
      </c>
      <c r="D39" s="33">
        <v>0</v>
      </c>
      <c r="E39" s="36">
        <f t="shared" si="2"/>
        <v>0</v>
      </c>
      <c r="F39" s="34">
        <f t="shared" si="3"/>
        <v>0</v>
      </c>
    </row>
    <row r="40" spans="1:6" s="100" customFormat="1" ht="26.25">
      <c r="A40" s="48" t="s">
        <v>43</v>
      </c>
      <c r="B40" s="33">
        <v>0</v>
      </c>
      <c r="C40" s="33">
        <v>0</v>
      </c>
      <c r="D40" s="33">
        <v>0</v>
      </c>
      <c r="E40" s="36">
        <f t="shared" si="2"/>
        <v>0</v>
      </c>
      <c r="F40" s="34">
        <f t="shared" si="3"/>
        <v>0</v>
      </c>
    </row>
    <row r="41" spans="1:6" s="100" customFormat="1" ht="26.25">
      <c r="A41" s="49" t="s">
        <v>44</v>
      </c>
      <c r="B41" s="33">
        <v>0</v>
      </c>
      <c r="C41" s="33">
        <v>0</v>
      </c>
      <c r="D41" s="33">
        <v>0</v>
      </c>
      <c r="E41" s="36">
        <f t="shared" si="2"/>
        <v>0</v>
      </c>
      <c r="F41" s="34">
        <f t="shared" si="3"/>
        <v>0</v>
      </c>
    </row>
    <row r="42" spans="1:12" s="102" customFormat="1" ht="26.25">
      <c r="A42" s="41" t="s">
        <v>45</v>
      </c>
      <c r="B42" s="50">
        <v>0</v>
      </c>
      <c r="C42" s="50">
        <v>0</v>
      </c>
      <c r="D42" s="50">
        <v>0</v>
      </c>
      <c r="E42" s="50">
        <f t="shared" si="2"/>
        <v>0</v>
      </c>
      <c r="F42" s="45">
        <f t="shared" si="3"/>
        <v>0</v>
      </c>
      <c r="L42" s="102" t="s">
        <v>46</v>
      </c>
    </row>
    <row r="43" spans="1:6" s="100" customFormat="1" ht="26.25">
      <c r="A43" s="39" t="s">
        <v>46</v>
      </c>
      <c r="B43" s="38"/>
      <c r="C43" s="38"/>
      <c r="D43" s="38"/>
      <c r="E43" s="38"/>
      <c r="F43" s="30"/>
    </row>
    <row r="44" spans="1:6" s="102" customFormat="1" ht="26.25">
      <c r="A44" s="51" t="s">
        <v>47</v>
      </c>
      <c r="B44" s="52">
        <v>375000</v>
      </c>
      <c r="C44" s="52">
        <v>375000</v>
      </c>
      <c r="D44" s="52">
        <v>375000</v>
      </c>
      <c r="E44" s="52">
        <f>D44-C44</f>
        <v>0</v>
      </c>
      <c r="F44" s="45">
        <f>IF(ISBLANK(E44),"  ",IF(C44&gt;0,E44/C44,IF(E44&gt;0,1,0)))</f>
        <v>0</v>
      </c>
    </row>
    <row r="45" spans="1:6" s="100" customFormat="1" ht="26.25">
      <c r="A45" s="39" t="s">
        <v>46</v>
      </c>
      <c r="B45" s="38"/>
      <c r="C45" s="38"/>
      <c r="D45" s="38"/>
      <c r="E45" s="38"/>
      <c r="F45" s="30"/>
    </row>
    <row r="46" spans="1:6" s="102" customFormat="1" ht="26.25">
      <c r="A46" s="51" t="s">
        <v>48</v>
      </c>
      <c r="B46" s="52">
        <v>0</v>
      </c>
      <c r="C46" s="52">
        <v>0</v>
      </c>
      <c r="D46" s="52">
        <v>0</v>
      </c>
      <c r="E46" s="52">
        <f>D46-C46</f>
        <v>0</v>
      </c>
      <c r="F46" s="45">
        <f>IF(ISBLANK(E46),"  ",IF(C46&gt;0,E46/C46,IF(E46&gt;0,1,0)))</f>
        <v>0</v>
      </c>
    </row>
    <row r="47" spans="1:6" s="100" customFormat="1" ht="26.25">
      <c r="A47" s="39" t="s">
        <v>46</v>
      </c>
      <c r="B47" s="38"/>
      <c r="C47" s="38"/>
      <c r="D47" s="38"/>
      <c r="E47" s="38"/>
      <c r="F47" s="30"/>
    </row>
    <row r="48" spans="1:6" s="102" customFormat="1" ht="26.25">
      <c r="A48" s="41" t="s">
        <v>49</v>
      </c>
      <c r="B48" s="50">
        <v>7340060.32</v>
      </c>
      <c r="C48" s="50">
        <v>9100000</v>
      </c>
      <c r="D48" s="50">
        <v>5100000</v>
      </c>
      <c r="E48" s="50">
        <f>D48-C48</f>
        <v>-4000000</v>
      </c>
      <c r="F48" s="45">
        <f>IF(ISBLANK(E48),"  ",IF(C48&gt;0,E48/C48,IF(E48&gt;0,1,0)))</f>
        <v>-0.43956043956043955</v>
      </c>
    </row>
    <row r="49" spans="1:6" s="100" customFormat="1" ht="26.25">
      <c r="A49" s="39" t="s">
        <v>46</v>
      </c>
      <c r="B49" s="38"/>
      <c r="C49" s="38"/>
      <c r="D49" s="38"/>
      <c r="E49" s="38"/>
      <c r="F49" s="30"/>
    </row>
    <row r="50" spans="1:6" s="102" customFormat="1" ht="26.25">
      <c r="A50" s="53" t="s">
        <v>50</v>
      </c>
      <c r="B50" s="54">
        <v>4034667</v>
      </c>
      <c r="C50" s="54">
        <v>4034667</v>
      </c>
      <c r="D50" s="54">
        <v>4034667</v>
      </c>
      <c r="E50" s="54">
        <f>D50-C50</f>
        <v>0</v>
      </c>
      <c r="F50" s="45">
        <f>IF(ISBLANK(E50),"  ",IF(C50&gt;0,E50/C50,IF(E50&gt;0,1,0)))</f>
        <v>0</v>
      </c>
    </row>
    <row r="51" spans="1:6" s="100" customFormat="1" ht="26.25">
      <c r="A51" s="41"/>
      <c r="B51" s="29"/>
      <c r="C51" s="29"/>
      <c r="D51" s="29"/>
      <c r="E51" s="29"/>
      <c r="F51" s="55"/>
    </row>
    <row r="52" spans="1:6" s="102" customFormat="1" ht="26.25">
      <c r="A52" s="41" t="s">
        <v>51</v>
      </c>
      <c r="B52" s="50">
        <v>0</v>
      </c>
      <c r="C52" s="50">
        <v>0</v>
      </c>
      <c r="D52" s="50">
        <v>0</v>
      </c>
      <c r="E52" s="54">
        <f>D52-C52</f>
        <v>0</v>
      </c>
      <c r="F52" s="45">
        <f>IF(ISBLANK(E52),"  ",IF(C52&gt;0,E52/C52,IF(E52&gt;0,1,0)))</f>
        <v>0</v>
      </c>
    </row>
    <row r="53" spans="1:6" s="100" customFormat="1" ht="26.25">
      <c r="A53" s="39"/>
      <c r="B53" s="38"/>
      <c r="C53" s="38"/>
      <c r="D53" s="38"/>
      <c r="E53" s="38"/>
      <c r="F53" s="30"/>
    </row>
    <row r="54" spans="1:6" s="102" customFormat="1" ht="26.25">
      <c r="A54" s="56" t="s">
        <v>52</v>
      </c>
      <c r="B54" s="50">
        <v>14028167.72</v>
      </c>
      <c r="C54" s="50">
        <v>15793574</v>
      </c>
      <c r="D54" s="50">
        <v>11827303</v>
      </c>
      <c r="E54" s="50">
        <f>D54-C54</f>
        <v>-3966271</v>
      </c>
      <c r="F54" s="45">
        <f>IF(ISBLANK(E54),"  ",IF(C54&gt;0,E54/C54,IF(E54&gt;0,1,0)))</f>
        <v>-0.25113194771493774</v>
      </c>
    </row>
    <row r="55" spans="1:6" s="100" customFormat="1" ht="26.25">
      <c r="A55" s="57"/>
      <c r="B55" s="38"/>
      <c r="C55" s="38"/>
      <c r="D55" s="38"/>
      <c r="E55" s="38"/>
      <c r="F55" s="30" t="s">
        <v>46</v>
      </c>
    </row>
    <row r="56" spans="1:6" s="100" customFormat="1" ht="26.25">
      <c r="A56" s="58"/>
      <c r="B56" s="29"/>
      <c r="C56" s="29"/>
      <c r="D56" s="29"/>
      <c r="E56" s="29"/>
      <c r="F56" s="31" t="s">
        <v>46</v>
      </c>
    </row>
    <row r="57" spans="1:6" s="100" customFormat="1" ht="26.25">
      <c r="A57" s="56" t="s">
        <v>53</v>
      </c>
      <c r="B57" s="29"/>
      <c r="C57" s="29"/>
      <c r="D57" s="29"/>
      <c r="E57" s="29"/>
      <c r="F57" s="31"/>
    </row>
    <row r="58" spans="1:6" s="100" customFormat="1" ht="26.25">
      <c r="A58" s="37" t="s">
        <v>54</v>
      </c>
      <c r="B58" s="29">
        <v>154967</v>
      </c>
      <c r="C58" s="29">
        <v>155852</v>
      </c>
      <c r="D58" s="29">
        <v>118813</v>
      </c>
      <c r="E58" s="29">
        <f aca="true" t="shared" si="4" ref="E58:E71">D58-C58</f>
        <v>-37039</v>
      </c>
      <c r="F58" s="34">
        <f aca="true" t="shared" si="5" ref="F58:F71">IF(ISBLANK(E58),"  ",IF(C58&gt;0,E58/C58,IF(E58&gt;0,1,0)))</f>
        <v>-0.2376549547006134</v>
      </c>
    </row>
    <row r="59" spans="1:6" s="100" customFormat="1" ht="26.25">
      <c r="A59" s="39" t="s">
        <v>55</v>
      </c>
      <c r="B59" s="38">
        <v>8198160</v>
      </c>
      <c r="C59" s="38">
        <v>8899097</v>
      </c>
      <c r="D59" s="38">
        <v>6754814</v>
      </c>
      <c r="E59" s="38">
        <f t="shared" si="4"/>
        <v>-2144283</v>
      </c>
      <c r="F59" s="34">
        <f t="shared" si="5"/>
        <v>-0.24095512162638524</v>
      </c>
    </row>
    <row r="60" spans="1:6" s="100" customFormat="1" ht="26.25">
      <c r="A60" s="39" t="s">
        <v>56</v>
      </c>
      <c r="B60" s="38">
        <v>955148</v>
      </c>
      <c r="C60" s="38">
        <v>915234</v>
      </c>
      <c r="D60" s="38">
        <v>854183</v>
      </c>
      <c r="E60" s="38">
        <f t="shared" si="4"/>
        <v>-61051</v>
      </c>
      <c r="F60" s="34">
        <f t="shared" si="5"/>
        <v>-0.066705345299672</v>
      </c>
    </row>
    <row r="61" spans="1:6" s="100" customFormat="1" ht="26.25">
      <c r="A61" s="39" t="s">
        <v>57</v>
      </c>
      <c r="B61" s="38">
        <v>158782</v>
      </c>
      <c r="C61" s="38">
        <v>100738</v>
      </c>
      <c r="D61" s="38">
        <v>135992</v>
      </c>
      <c r="E61" s="38">
        <f t="shared" si="4"/>
        <v>35254</v>
      </c>
      <c r="F61" s="34">
        <f t="shared" si="5"/>
        <v>0.3499573150151879</v>
      </c>
    </row>
    <row r="62" spans="1:6" s="100" customFormat="1" ht="26.25">
      <c r="A62" s="39" t="s">
        <v>58</v>
      </c>
      <c r="B62" s="38">
        <v>0</v>
      </c>
      <c r="C62" s="38">
        <v>0</v>
      </c>
      <c r="D62" s="38">
        <v>0</v>
      </c>
      <c r="E62" s="38">
        <f t="shared" si="4"/>
        <v>0</v>
      </c>
      <c r="F62" s="34">
        <f t="shared" si="5"/>
        <v>0</v>
      </c>
    </row>
    <row r="63" spans="1:6" s="100" customFormat="1" ht="26.25">
      <c r="A63" s="39" t="s">
        <v>59</v>
      </c>
      <c r="B63" s="38">
        <v>819486</v>
      </c>
      <c r="C63" s="38">
        <v>704309</v>
      </c>
      <c r="D63" s="38">
        <v>891644</v>
      </c>
      <c r="E63" s="38">
        <f t="shared" si="4"/>
        <v>187335</v>
      </c>
      <c r="F63" s="34">
        <f t="shared" si="5"/>
        <v>0.26598410640784087</v>
      </c>
    </row>
    <row r="64" spans="1:6" s="100" customFormat="1" ht="26.25">
      <c r="A64" s="39" t="s">
        <v>60</v>
      </c>
      <c r="B64" s="38">
        <v>0</v>
      </c>
      <c r="C64" s="38">
        <v>0</v>
      </c>
      <c r="D64" s="38">
        <v>0</v>
      </c>
      <c r="E64" s="38">
        <f t="shared" si="4"/>
        <v>0</v>
      </c>
      <c r="F64" s="34">
        <f t="shared" si="5"/>
        <v>0</v>
      </c>
    </row>
    <row r="65" spans="1:6" s="100" customFormat="1" ht="26.25">
      <c r="A65" s="39" t="s">
        <v>61</v>
      </c>
      <c r="B65" s="38">
        <v>1293265</v>
      </c>
      <c r="C65" s="38">
        <v>888344</v>
      </c>
      <c r="D65" s="38">
        <v>941857</v>
      </c>
      <c r="E65" s="38">
        <f t="shared" si="4"/>
        <v>53513</v>
      </c>
      <c r="F65" s="34">
        <f t="shared" si="5"/>
        <v>0.06023905153859316</v>
      </c>
    </row>
    <row r="66" spans="1:6" s="102" customFormat="1" ht="26.25">
      <c r="A66" s="59" t="s">
        <v>62</v>
      </c>
      <c r="B66" s="44">
        <v>11579808</v>
      </c>
      <c r="C66" s="44">
        <v>11663574</v>
      </c>
      <c r="D66" s="44">
        <v>9697303</v>
      </c>
      <c r="E66" s="44">
        <f t="shared" si="4"/>
        <v>-1966271</v>
      </c>
      <c r="F66" s="45">
        <f t="shared" si="5"/>
        <v>-0.16858220301941754</v>
      </c>
    </row>
    <row r="67" spans="1:6" s="100" customFormat="1" ht="26.25">
      <c r="A67" s="39" t="s">
        <v>63</v>
      </c>
      <c r="B67" s="38">
        <v>0</v>
      </c>
      <c r="C67" s="38">
        <v>0</v>
      </c>
      <c r="D67" s="38">
        <v>0</v>
      </c>
      <c r="E67" s="38">
        <f t="shared" si="4"/>
        <v>0</v>
      </c>
      <c r="F67" s="34">
        <f t="shared" si="5"/>
        <v>0</v>
      </c>
    </row>
    <row r="68" spans="1:6" s="100" customFormat="1" ht="26.25">
      <c r="A68" s="39" t="s">
        <v>64</v>
      </c>
      <c r="B68" s="38">
        <v>0</v>
      </c>
      <c r="C68" s="38">
        <v>0</v>
      </c>
      <c r="D68" s="38">
        <v>0</v>
      </c>
      <c r="E68" s="38">
        <f t="shared" si="4"/>
        <v>0</v>
      </c>
      <c r="F68" s="34">
        <f t="shared" si="5"/>
        <v>0</v>
      </c>
    </row>
    <row r="69" spans="1:6" s="100" customFormat="1" ht="26.25">
      <c r="A69" s="39" t="s">
        <v>65</v>
      </c>
      <c r="B69" s="38">
        <v>0</v>
      </c>
      <c r="C69" s="38">
        <v>0</v>
      </c>
      <c r="D69" s="38">
        <v>0</v>
      </c>
      <c r="E69" s="38">
        <f t="shared" si="4"/>
        <v>0</v>
      </c>
      <c r="F69" s="34">
        <f t="shared" si="5"/>
        <v>0</v>
      </c>
    </row>
    <row r="70" spans="1:6" s="100" customFormat="1" ht="26.25">
      <c r="A70" s="39" t="s">
        <v>66</v>
      </c>
      <c r="B70" s="38">
        <v>2448361</v>
      </c>
      <c r="C70" s="38">
        <v>4130000</v>
      </c>
      <c r="D70" s="38">
        <v>2130000</v>
      </c>
      <c r="E70" s="38">
        <f t="shared" si="4"/>
        <v>-2000000</v>
      </c>
      <c r="F70" s="34">
        <f t="shared" si="5"/>
        <v>-0.48426150121065376</v>
      </c>
    </row>
    <row r="71" spans="1:6" s="102" customFormat="1" ht="26.25">
      <c r="A71" s="60" t="s">
        <v>67</v>
      </c>
      <c r="B71" s="61">
        <v>14028169</v>
      </c>
      <c r="C71" s="61">
        <v>15793574</v>
      </c>
      <c r="D71" s="61">
        <v>11827303</v>
      </c>
      <c r="E71" s="61">
        <f t="shared" si="4"/>
        <v>-3966271</v>
      </c>
      <c r="F71" s="45">
        <f t="shared" si="5"/>
        <v>-0.25113194771493774</v>
      </c>
    </row>
    <row r="72" spans="1:6" s="100" customFormat="1" ht="26.25">
      <c r="A72" s="58"/>
      <c r="B72" s="29"/>
      <c r="C72" s="29"/>
      <c r="D72" s="29"/>
      <c r="E72" s="29"/>
      <c r="F72" s="31"/>
    </row>
    <row r="73" spans="1:6" s="100" customFormat="1" ht="26.25">
      <c r="A73" s="56" t="s">
        <v>68</v>
      </c>
      <c r="B73" s="29"/>
      <c r="C73" s="29"/>
      <c r="D73" s="29"/>
      <c r="E73" s="29"/>
      <c r="F73" s="31"/>
    </row>
    <row r="74" spans="1:6" s="100" customFormat="1" ht="26.25">
      <c r="A74" s="37" t="s">
        <v>69</v>
      </c>
      <c r="B74" s="33">
        <v>2415486</v>
      </c>
      <c r="C74" s="33">
        <v>3000976</v>
      </c>
      <c r="D74" s="33">
        <v>2429337</v>
      </c>
      <c r="E74" s="29">
        <f aca="true" t="shared" si="6" ref="E74:E92">D74-C74</f>
        <v>-571639</v>
      </c>
      <c r="F74" s="34">
        <f aca="true" t="shared" si="7" ref="F74:F92">IF(ISBLANK(E74),"  ",IF(C74&gt;0,E74/C74,IF(E74&gt;0,1,0)))</f>
        <v>-0.1904843624207591</v>
      </c>
    </row>
    <row r="75" spans="1:6" s="100" customFormat="1" ht="26.25">
      <c r="A75" s="39" t="s">
        <v>70</v>
      </c>
      <c r="B75" s="36">
        <v>0</v>
      </c>
      <c r="C75" s="36">
        <v>0</v>
      </c>
      <c r="D75" s="36">
        <v>0</v>
      </c>
      <c r="E75" s="38">
        <f t="shared" si="6"/>
        <v>0</v>
      </c>
      <c r="F75" s="34">
        <f t="shared" si="7"/>
        <v>0</v>
      </c>
    </row>
    <row r="76" spans="1:6" s="100" customFormat="1" ht="26.25">
      <c r="A76" s="39" t="s">
        <v>71</v>
      </c>
      <c r="B76" s="29">
        <v>964106</v>
      </c>
      <c r="C76" s="29">
        <v>1188353</v>
      </c>
      <c r="D76" s="29">
        <v>965337</v>
      </c>
      <c r="E76" s="38">
        <f t="shared" si="6"/>
        <v>-223016</v>
      </c>
      <c r="F76" s="34">
        <f t="shared" si="7"/>
        <v>-0.18766814237856932</v>
      </c>
    </row>
    <row r="77" spans="1:6" s="102" customFormat="1" ht="26.25">
      <c r="A77" s="59" t="s">
        <v>72</v>
      </c>
      <c r="B77" s="61">
        <v>3379592</v>
      </c>
      <c r="C77" s="61">
        <v>4189329</v>
      </c>
      <c r="D77" s="61">
        <v>3394674</v>
      </c>
      <c r="E77" s="44">
        <f t="shared" si="6"/>
        <v>-794655</v>
      </c>
      <c r="F77" s="45">
        <f t="shared" si="7"/>
        <v>-0.18968550810881646</v>
      </c>
    </row>
    <row r="78" spans="1:6" s="100" customFormat="1" ht="26.25">
      <c r="A78" s="39" t="s">
        <v>73</v>
      </c>
      <c r="B78" s="36">
        <v>10000</v>
      </c>
      <c r="C78" s="36">
        <v>10000</v>
      </c>
      <c r="D78" s="36">
        <v>8500</v>
      </c>
      <c r="E78" s="38">
        <f t="shared" si="6"/>
        <v>-1500</v>
      </c>
      <c r="F78" s="34">
        <f t="shared" si="7"/>
        <v>-0.15</v>
      </c>
    </row>
    <row r="79" spans="1:6" s="100" customFormat="1" ht="26.25">
      <c r="A79" s="39" t="s">
        <v>74</v>
      </c>
      <c r="B79" s="33">
        <v>142165</v>
      </c>
      <c r="C79" s="33">
        <v>142165</v>
      </c>
      <c r="D79" s="33">
        <v>129363</v>
      </c>
      <c r="E79" s="38">
        <f t="shared" si="6"/>
        <v>-12802</v>
      </c>
      <c r="F79" s="34">
        <f t="shared" si="7"/>
        <v>-0.09005029367284494</v>
      </c>
    </row>
    <row r="80" spans="1:6" s="100" customFormat="1" ht="26.25">
      <c r="A80" s="39" t="s">
        <v>75</v>
      </c>
      <c r="B80" s="29">
        <v>70201</v>
      </c>
      <c r="C80" s="29">
        <v>70200</v>
      </c>
      <c r="D80" s="29">
        <v>65800</v>
      </c>
      <c r="E80" s="38">
        <f t="shared" si="6"/>
        <v>-4400</v>
      </c>
      <c r="F80" s="34">
        <f t="shared" si="7"/>
        <v>-0.06267806267806268</v>
      </c>
    </row>
    <row r="81" spans="1:6" s="102" customFormat="1" ht="26.25">
      <c r="A81" s="42" t="s">
        <v>76</v>
      </c>
      <c r="B81" s="61">
        <v>222366</v>
      </c>
      <c r="C81" s="61">
        <v>222365</v>
      </c>
      <c r="D81" s="61">
        <v>203663</v>
      </c>
      <c r="E81" s="44">
        <f t="shared" si="6"/>
        <v>-18702</v>
      </c>
      <c r="F81" s="45">
        <f t="shared" si="7"/>
        <v>-0.0841049625615542</v>
      </c>
    </row>
    <row r="82" spans="1:6" s="100" customFormat="1" ht="26.25">
      <c r="A82" s="39" t="s">
        <v>77</v>
      </c>
      <c r="B82" s="29">
        <v>0</v>
      </c>
      <c r="C82" s="29">
        <v>0</v>
      </c>
      <c r="D82" s="29">
        <v>0</v>
      </c>
      <c r="E82" s="38">
        <f t="shared" si="6"/>
        <v>0</v>
      </c>
      <c r="F82" s="34">
        <f t="shared" si="7"/>
        <v>0</v>
      </c>
    </row>
    <row r="83" spans="1:6" s="100" customFormat="1" ht="26.25">
      <c r="A83" s="39" t="s">
        <v>78</v>
      </c>
      <c r="B83" s="38">
        <v>9751180</v>
      </c>
      <c r="C83" s="38">
        <v>10697434</v>
      </c>
      <c r="D83" s="38">
        <v>7497267</v>
      </c>
      <c r="E83" s="38">
        <f t="shared" si="6"/>
        <v>-3200167</v>
      </c>
      <c r="F83" s="34">
        <f t="shared" si="7"/>
        <v>-0.2991527687854863</v>
      </c>
    </row>
    <row r="84" spans="1:6" s="100" customFormat="1" ht="26.25">
      <c r="A84" s="39" t="s">
        <v>79</v>
      </c>
      <c r="B84" s="38">
        <v>0</v>
      </c>
      <c r="C84" s="38">
        <v>0</v>
      </c>
      <c r="D84" s="38">
        <v>0</v>
      </c>
      <c r="E84" s="38">
        <f t="shared" si="6"/>
        <v>0</v>
      </c>
      <c r="F84" s="34">
        <f t="shared" si="7"/>
        <v>0</v>
      </c>
    </row>
    <row r="85" spans="1:6" s="100" customFormat="1" ht="26.25">
      <c r="A85" s="39" t="s">
        <v>80</v>
      </c>
      <c r="B85" s="38">
        <v>656031</v>
      </c>
      <c r="C85" s="38">
        <v>665446</v>
      </c>
      <c r="D85" s="38">
        <v>680499</v>
      </c>
      <c r="E85" s="38">
        <f t="shared" si="6"/>
        <v>15053</v>
      </c>
      <c r="F85" s="34">
        <f t="shared" si="7"/>
        <v>0.022620918902510497</v>
      </c>
    </row>
    <row r="86" spans="1:6" s="102" customFormat="1" ht="26.25">
      <c r="A86" s="42" t="s">
        <v>81</v>
      </c>
      <c r="B86" s="44">
        <v>10407211</v>
      </c>
      <c r="C86" s="44">
        <v>11362880</v>
      </c>
      <c r="D86" s="44">
        <v>8177766</v>
      </c>
      <c r="E86" s="44">
        <f t="shared" si="6"/>
        <v>-3185114</v>
      </c>
      <c r="F86" s="45">
        <f t="shared" si="7"/>
        <v>-0.2803086893463629</v>
      </c>
    </row>
    <row r="87" spans="1:6" s="100" customFormat="1" ht="26.25">
      <c r="A87" s="39" t="s">
        <v>82</v>
      </c>
      <c r="B87" s="38">
        <v>4744</v>
      </c>
      <c r="C87" s="38">
        <v>19000</v>
      </c>
      <c r="D87" s="38">
        <v>21200</v>
      </c>
      <c r="E87" s="38">
        <f t="shared" si="6"/>
        <v>2200</v>
      </c>
      <c r="F87" s="34">
        <f t="shared" si="7"/>
        <v>0.11578947368421053</v>
      </c>
    </row>
    <row r="88" spans="1:6" s="100" customFormat="1" ht="26.25">
      <c r="A88" s="39" t="s">
        <v>83</v>
      </c>
      <c r="B88" s="38">
        <v>14256</v>
      </c>
      <c r="C88" s="38">
        <v>0</v>
      </c>
      <c r="D88" s="38">
        <v>30000</v>
      </c>
      <c r="E88" s="38">
        <f t="shared" si="6"/>
        <v>30000</v>
      </c>
      <c r="F88" s="34">
        <f t="shared" si="7"/>
        <v>1</v>
      </c>
    </row>
    <row r="89" spans="1:6" s="100" customFormat="1" ht="26.25">
      <c r="A89" s="48" t="s">
        <v>84</v>
      </c>
      <c r="B89" s="38">
        <v>0</v>
      </c>
      <c r="C89" s="38">
        <v>0</v>
      </c>
      <c r="D89" s="38">
        <v>0</v>
      </c>
      <c r="E89" s="38">
        <f t="shared" si="6"/>
        <v>0</v>
      </c>
      <c r="F89" s="34">
        <f t="shared" si="7"/>
        <v>0</v>
      </c>
    </row>
    <row r="90" spans="1:6" s="102" customFormat="1" ht="26.25">
      <c r="A90" s="62" t="s">
        <v>85</v>
      </c>
      <c r="B90" s="61">
        <v>19000</v>
      </c>
      <c r="C90" s="61">
        <v>19000</v>
      </c>
      <c r="D90" s="61">
        <v>51200</v>
      </c>
      <c r="E90" s="61">
        <f t="shared" si="6"/>
        <v>32200</v>
      </c>
      <c r="F90" s="45">
        <f t="shared" si="7"/>
        <v>1.694736842105263</v>
      </c>
    </row>
    <row r="91" spans="1:6" s="100" customFormat="1" ht="26.25">
      <c r="A91" s="48" t="s">
        <v>86</v>
      </c>
      <c r="B91" s="38">
        <v>0</v>
      </c>
      <c r="C91" s="38">
        <v>0</v>
      </c>
      <c r="D91" s="38">
        <v>0</v>
      </c>
      <c r="E91" s="38">
        <f t="shared" si="6"/>
        <v>0</v>
      </c>
      <c r="F91" s="34">
        <f t="shared" si="7"/>
        <v>0</v>
      </c>
    </row>
    <row r="92" spans="1:6" s="102" customFormat="1" ht="27" thickBot="1">
      <c r="A92" s="63" t="s">
        <v>67</v>
      </c>
      <c r="B92" s="64">
        <v>14028169</v>
      </c>
      <c r="C92" s="64">
        <v>15793574</v>
      </c>
      <c r="D92" s="64">
        <v>11827303</v>
      </c>
      <c r="E92" s="64">
        <f t="shared" si="6"/>
        <v>-3966271</v>
      </c>
      <c r="F92" s="65">
        <f t="shared" si="7"/>
        <v>-0.25113194771493774</v>
      </c>
    </row>
    <row r="93" spans="1:8" s="93" customFormat="1" ht="31.5">
      <c r="A93" s="16"/>
      <c r="B93" s="17"/>
      <c r="C93" s="17"/>
      <c r="D93" s="17"/>
      <c r="E93" s="17"/>
      <c r="F93" s="18" t="s">
        <v>46</v>
      </c>
      <c r="G93" s="99"/>
      <c r="H93" s="99"/>
    </row>
  </sheetData>
  <sheetProtection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 Parker</cp:lastModifiedBy>
  <cp:lastPrinted>2017-10-19T13:53:32Z</cp:lastPrinted>
  <dcterms:created xsi:type="dcterms:W3CDTF">2013-09-10T14:36:10Z</dcterms:created>
  <dcterms:modified xsi:type="dcterms:W3CDTF">2017-11-20T16:05:12Z</dcterms:modified>
  <cp:category/>
  <cp:version/>
  <cp:contentType/>
  <cp:contentStatus/>
</cp:coreProperties>
</file>